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80" yWindow="-15" windowWidth="9855" windowHeight="7425" tabRatio="732" firstSheet="3" activeTab="12"/>
  </bookViews>
  <sheets>
    <sheet name="24.01.2011" sheetId="1" r:id="rId1"/>
    <sheet name="31.05.2011 " sheetId="2" r:id="rId2"/>
    <sheet name="09.12.2011" sheetId="3" r:id="rId3"/>
    <sheet name="1 кв2020 " sheetId="11" r:id="rId4"/>
    <sheet name="1 кв2020  (2)" sheetId="14" r:id="rId5"/>
    <sheet name="2 кв2020" sheetId="12" r:id="rId6"/>
    <sheet name="2 кв2020 (2)" sheetId="13" r:id="rId7"/>
    <sheet name="3 кв2020 " sheetId="17" r:id="rId8"/>
    <sheet name="4 кв2020" sheetId="18" r:id="rId9"/>
    <sheet name="1КВ2021" sheetId="19" r:id="rId10"/>
    <sheet name="2кв2021" sheetId="20" r:id="rId11"/>
    <sheet name="9 міс 2021" sheetId="21" r:id="rId12"/>
    <sheet name="Рік" sheetId="2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3">'1 кв2020 '!$A$1:$AN$93</definedName>
    <definedName name="_xlnm.Print_Area" localSheetId="4">'1 кв2020  (2)'!$A$1:$AN$93</definedName>
    <definedName name="_xlnm.Print_Area" localSheetId="9">'1КВ2021'!$A$1:$AN$93</definedName>
    <definedName name="_xlnm.Print_Area" localSheetId="5">'2 кв2020'!$A$1:$AN$93</definedName>
    <definedName name="_xlnm.Print_Area" localSheetId="6">'2 кв2020 (2)'!$A$1:$AN$93</definedName>
    <definedName name="_xlnm.Print_Area" localSheetId="10">'2кв2021'!$A$1:$AN$93</definedName>
    <definedName name="_xlnm.Print_Area" localSheetId="7">'3 кв2020 '!$A$1:$AN$93</definedName>
    <definedName name="_xlnm.Print_Area" localSheetId="8">'4 кв2020'!$A$1:$AN$93</definedName>
  </definedNames>
  <calcPr calcId="125725"/>
</workbook>
</file>

<file path=xl/calcChain.xml><?xml version="1.0" encoding="utf-8"?>
<calcChain xmlns="http://schemas.openxmlformats.org/spreadsheetml/2006/main">
  <c r="AH60" i="22"/>
  <c r="AI84"/>
  <c r="AA81"/>
  <c r="AH59" l="1"/>
  <c r="AH49"/>
  <c r="AA84"/>
  <c r="AH80"/>
  <c r="Z80"/>
  <c r="Z66"/>
  <c r="AH65" a="1"/>
  <c r="AH65" s="1"/>
  <c r="AH66" s="1"/>
  <c r="Z53"/>
  <c r="AH50" a="1"/>
  <c r="AH50" s="1"/>
  <c r="AH48" a="1"/>
  <c r="AH48" s="1"/>
  <c r="AH39" a="1"/>
  <c r="AH39" s="1"/>
  <c r="AH37" a="1"/>
  <c r="AH37" s="1"/>
  <c r="AH33" a="1"/>
  <c r="AH33" s="1"/>
  <c r="AH41" s="1"/>
  <c r="AH22"/>
  <c r="AH28" s="1"/>
  <c r="Z22"/>
  <c r="Z28" s="1"/>
  <c r="Z43" s="1"/>
  <c r="AH51" i="21"/>
  <c r="AH53" i="22" l="1"/>
  <c r="Z68"/>
  <c r="AH85"/>
  <c r="AH87" s="1"/>
  <c r="AH43"/>
  <c r="AH68"/>
  <c r="Z85"/>
  <c r="Z87" s="1"/>
  <c r="AI84" i="21"/>
  <c r="AA82"/>
  <c r="AA84" s="1"/>
  <c r="Z78"/>
  <c r="Z80" s="1"/>
  <c r="AH59"/>
  <c r="AH22"/>
  <c r="AH28" s="1"/>
  <c r="AH80"/>
  <c r="AH85" s="1"/>
  <c r="AH87" s="1"/>
  <c r="Z66"/>
  <c r="AH65" a="1"/>
  <c r="AH65" s="1"/>
  <c r="AH66" s="1"/>
  <c r="Z53"/>
  <c r="AH50" a="1"/>
  <c r="AH50" s="1"/>
  <c r="AH48" a="1"/>
  <c r="AH48" s="1"/>
  <c r="AH39" a="1"/>
  <c r="AH39" s="1"/>
  <c r="AH37" a="1"/>
  <c r="AH37" s="1"/>
  <c r="AH33" a="1"/>
  <c r="AH33" s="1"/>
  <c r="Z22"/>
  <c r="Z28" s="1"/>
  <c r="Z43" s="1"/>
  <c r="AA82" i="20"/>
  <c r="AI84"/>
  <c r="AH59"/>
  <c r="AH60"/>
  <c r="AH36"/>
  <c r="AH41" i="21" l="1"/>
  <c r="AH43" s="1"/>
  <c r="Z68"/>
  <c r="Z85"/>
  <c r="Z87" s="1"/>
  <c r="AH53"/>
  <c r="AH68" s="1"/>
  <c r="AH87" i="20"/>
  <c r="AA84"/>
  <c r="AH80"/>
  <c r="Z80"/>
  <c r="Z66"/>
  <c r="AH65" a="1"/>
  <c r="AH65" s="1"/>
  <c r="AH66" s="1"/>
  <c r="Z53"/>
  <c r="AH50" a="1"/>
  <c r="AH50" s="1"/>
  <c r="AH48" a="1"/>
  <c r="AH48" s="1"/>
  <c r="AH39" a="1"/>
  <c r="AH39" s="1"/>
  <c r="AH37" a="1"/>
  <c r="AH37" s="1"/>
  <c r="AH33" a="1"/>
  <c r="AH33" s="1"/>
  <c r="AH41" s="1"/>
  <c r="AH22"/>
  <c r="AH28" s="1"/>
  <c r="Z22"/>
  <c r="Z28" s="1"/>
  <c r="Z43" s="1"/>
  <c r="AA82" i="19"/>
  <c r="AA84"/>
  <c r="Z85" s="1"/>
  <c r="Z87" s="1"/>
  <c r="Z80"/>
  <c r="AH53" i="20" l="1"/>
  <c r="Z68"/>
  <c r="Z85"/>
  <c r="Z87" s="1"/>
  <c r="AH43"/>
  <c r="AH68"/>
  <c r="AH87" i="19"/>
  <c r="AH80"/>
  <c r="AH23"/>
  <c r="AH22" s="1"/>
  <c r="Z22"/>
  <c r="AR68"/>
  <c r="Z66"/>
  <c r="AH65" a="1"/>
  <c r="AH65" s="1"/>
  <c r="AH59" a="1"/>
  <c r="AH59" s="1"/>
  <c r="Z53"/>
  <c r="AH50" a="1"/>
  <c r="AH50" s="1"/>
  <c r="AH48" a="1"/>
  <c r="AH48" s="1"/>
  <c r="AH39" a="1"/>
  <c r="AH39" s="1"/>
  <c r="AH37" a="1"/>
  <c r="AH37" s="1"/>
  <c r="AH33" a="1"/>
  <c r="AH33" s="1"/>
  <c r="Z28"/>
  <c r="Z43" s="1"/>
  <c r="AN64" i="18" a="1"/>
  <c r="AN64" s="1"/>
  <c r="Z68" i="19" l="1"/>
  <c r="AH28"/>
  <c r="AH41"/>
  <c r="AH53"/>
  <c r="AH66"/>
  <c r="AH68" l="1"/>
  <c r="AS68" s="1"/>
  <c r="AH43"/>
  <c r="AP43" s="1"/>
  <c r="AA82" i="18"/>
  <c r="AA81"/>
  <c r="Z78" i="17"/>
  <c r="Z78" i="18" s="1"/>
  <c r="Z79"/>
  <c r="AP68" i="19" l="1"/>
  <c r="Z77" i="18"/>
  <c r="AN36" a="1"/>
  <c r="AN36" s="1"/>
  <c r="AN34" a="1"/>
  <c r="AN34" s="1"/>
  <c r="AN33" a="1"/>
  <c r="AN33" s="1"/>
  <c r="AN30" a="1"/>
  <c r="AN30" s="1"/>
  <c r="AI24" a="1"/>
  <c r="AI24" s="1"/>
  <c r="AR68"/>
  <c r="AN67" a="1"/>
  <c r="AN67" s="1"/>
  <c r="AN65" a="1"/>
  <c r="AN65" s="1"/>
  <c r="AN63" a="1"/>
  <c r="AN63" s="1"/>
  <c r="AN60" a="1"/>
  <c r="AN60" s="1"/>
  <c r="AN59" a="1"/>
  <c r="AN59" s="1"/>
  <c r="AN54" a="1"/>
  <c r="AN54" s="1"/>
  <c r="AN51" a="1"/>
  <c r="AN51" s="1"/>
  <c r="AN50" a="1"/>
  <c r="AN50" s="1"/>
  <c r="AN49" a="1"/>
  <c r="AN49" s="1"/>
  <c r="AN48" a="1"/>
  <c r="AN48" s="1"/>
  <c r="AN40" a="1"/>
  <c r="AN40" s="1"/>
  <c r="AN39" a="1"/>
  <c r="AN39" s="1"/>
  <c r="AN38" a="1"/>
  <c r="AN38" s="1"/>
  <c r="AN37" a="1"/>
  <c r="AN37" s="1"/>
  <c r="AN23" a="1"/>
  <c r="AN23" s="1"/>
  <c r="AN21" a="1"/>
  <c r="AN21" s="1"/>
  <c r="Z66"/>
  <c r="Z53"/>
  <c r="Z22"/>
  <c r="Z28" s="1"/>
  <c r="Z43" s="1"/>
  <c r="AN67" i="17" a="1"/>
  <c r="AN67" s="1"/>
  <c r="AN65" a="1"/>
  <c r="AN65" s="1"/>
  <c r="AN63" a="1"/>
  <c r="AN63" s="1"/>
  <c r="AN60" a="1"/>
  <c r="AN60" s="1"/>
  <c r="AN59" a="1"/>
  <c r="AN59" s="1"/>
  <c r="AN54" a="1"/>
  <c r="AN54" s="1"/>
  <c r="AN51" a="1"/>
  <c r="AN51" s="1"/>
  <c r="AN50" a="1"/>
  <c r="AN50" s="1"/>
  <c r="AN49" a="1"/>
  <c r="AN49" s="1"/>
  <c r="AN48" a="1"/>
  <c r="AN48" s="1"/>
  <c r="AN40" a="1"/>
  <c r="AN40" s="1"/>
  <c r="AN39" a="1"/>
  <c r="AN39" s="1"/>
  <c r="AN38" a="1"/>
  <c r="AN38" s="1"/>
  <c r="AN37" a="1"/>
  <c r="AN37" s="1"/>
  <c r="AN36" a="1"/>
  <c r="AN36" s="1"/>
  <c r="AN34" a="1"/>
  <c r="AN34" s="1"/>
  <c r="AN33" a="1"/>
  <c r="AN33" s="1"/>
  <c r="AN30" a="1"/>
  <c r="AN30" s="1"/>
  <c r="AN23" a="1"/>
  <c r="AN23" s="1"/>
  <c r="AN21" a="1"/>
  <c r="AN21" s="1"/>
  <c r="Z68" i="18" l="1"/>
  <c r="Z80"/>
  <c r="AH22"/>
  <c r="AH28" s="1"/>
  <c r="AH41"/>
  <c r="AH53"/>
  <c r="AH66"/>
  <c r="AA81" i="17"/>
  <c r="AI84"/>
  <c r="AA82"/>
  <c r="AH80"/>
  <c r="AH85" l="1"/>
  <c r="AH87" s="1"/>
  <c r="AH68" i="18"/>
  <c r="AS68" s="1"/>
  <c r="AH43"/>
  <c r="AP43" s="1"/>
  <c r="Z79" i="17"/>
  <c r="AP68" i="18" l="1"/>
  <c r="Z77" i="17"/>
  <c r="Z80" l="1"/>
  <c r="Z66"/>
  <c r="Z53"/>
  <c r="Z22"/>
  <c r="Z28" s="1"/>
  <c r="Z43" s="1"/>
  <c r="AA82" i="12"/>
  <c r="AN48" a="1"/>
  <c r="AN48" s="1"/>
  <c r="AN49" a="1"/>
  <c r="AN49" s="1"/>
  <c r="AA81" i="13"/>
  <c r="AA83" i="14"/>
  <c r="AA81"/>
  <c r="Z79"/>
  <c r="Z80" s="1"/>
  <c r="Z77"/>
  <c r="AN65" a="1"/>
  <c r="AN65" s="1"/>
  <c r="AN63" a="1"/>
  <c r="AN63" s="1"/>
  <c r="AN60" a="1"/>
  <c r="AN60" s="1"/>
  <c r="AN59" a="1"/>
  <c r="AN59" s="1"/>
  <c r="AN54" a="1"/>
  <c r="AN54" s="1"/>
  <c r="AN51" a="1"/>
  <c r="AN51" s="1"/>
  <c r="AN48" a="1"/>
  <c r="AN48" s="1"/>
  <c r="AN38" a="1"/>
  <c r="AN38" s="1"/>
  <c r="AN36" a="1"/>
  <c r="AN36" s="1"/>
  <c r="AN34" a="1"/>
  <c r="AN34" s="1"/>
  <c r="AN33" a="1"/>
  <c r="AN33" s="1"/>
  <c r="AN30" a="1"/>
  <c r="AN30" s="1"/>
  <c r="AI24" a="1"/>
  <c r="AI24" s="1"/>
  <c r="AN23" a="1"/>
  <c r="AN23" s="1"/>
  <c r="AN21" a="1"/>
  <c r="AN21" s="1"/>
  <c r="AA82" i="13"/>
  <c r="AR68" i="14"/>
  <c r="Z66"/>
  <c r="Z68" s="1"/>
  <c r="Z53"/>
  <c r="Z22"/>
  <c r="Z28" s="1"/>
  <c r="Z43" s="1"/>
  <c r="Z79" i="13"/>
  <c r="Z77"/>
  <c r="Z80" s="1"/>
  <c r="Z66"/>
  <c r="Z53"/>
  <c r="Z22"/>
  <c r="Z28" s="1"/>
  <c r="Z43" s="1"/>
  <c r="AA81" i="12"/>
  <c r="AA84" i="14" l="1"/>
  <c r="Z85" s="1"/>
  <c r="Z87" s="1"/>
  <c r="Z68" i="17"/>
  <c r="Z68" i="13"/>
  <c r="AH66" i="14"/>
  <c r="AH53"/>
  <c r="AH22"/>
  <c r="AH28" s="1"/>
  <c r="AH41"/>
  <c r="Z79" i="12"/>
  <c r="Z77"/>
  <c r="Z80" l="1"/>
  <c r="AH68" i="14"/>
  <c r="AS68" s="1"/>
  <c r="AH43"/>
  <c r="AP43" s="1"/>
  <c r="AP68" l="1"/>
  <c r="Z66" i="12"/>
  <c r="Z53"/>
  <c r="Z22"/>
  <c r="AA83" i="11" l="1"/>
  <c r="AA83" i="12" s="1"/>
  <c r="AA84" l="1"/>
  <c r="AA83" i="17" a="1"/>
  <c r="AA83" s="1"/>
  <c r="AA81" i="11"/>
  <c r="AA84" s="1"/>
  <c r="AA83" i="18" l="1" a="1"/>
  <c r="AA83" s="1"/>
  <c r="AA84" s="1"/>
  <c r="Z85" s="1"/>
  <c r="Z87" s="1"/>
  <c r="AA84" i="17"/>
  <c r="Z85" s="1"/>
  <c r="Z87" s="1"/>
  <c r="Z79" i="11"/>
  <c r="Z77"/>
  <c r="AR68"/>
  <c r="Z80" l="1"/>
  <c r="Z66"/>
  <c r="AN65" a="1"/>
  <c r="AN63" a="1"/>
  <c r="AN60" a="1"/>
  <c r="AN59" s="1"/>
  <c r="AN59" a="1"/>
  <c r="AN54" a="1"/>
  <c r="Z53"/>
  <c r="Z68" s="1"/>
  <c r="AN51" a="1"/>
  <c r="AN63" l="1"/>
  <c r="AN51"/>
  <c r="AN54"/>
  <c r="AN60"/>
  <c r="AN65"/>
  <c r="AN48" a="1"/>
  <c r="AN38" a="1"/>
  <c r="AN36" a="1"/>
  <c r="AN34" a="1"/>
  <c r="AN33" s="1"/>
  <c r="AN33" a="1"/>
  <c r="AN30" a="1"/>
  <c r="AI24" a="1"/>
  <c r="AN23" a="1"/>
  <c r="AN36" l="1"/>
  <c r="AH66"/>
  <c r="AI24"/>
  <c r="AN23"/>
  <c r="AN30"/>
  <c r="AN34"/>
  <c r="AN48"/>
  <c r="AH53" s="1"/>
  <c r="Z22"/>
  <c r="Z28" s="1"/>
  <c r="Z43" s="1"/>
  <c r="AN21" a="1"/>
  <c r="AH68" l="1"/>
  <c r="AS68" s="1"/>
  <c r="AH22"/>
  <c r="AN21"/>
  <c r="AN38"/>
  <c r="AH41" s="1"/>
  <c r="Z28" i="12"/>
  <c r="Z43" s="1"/>
  <c r="Z68"/>
  <c r="AH28" i="11" l="1"/>
  <c r="AH43" s="1"/>
  <c r="AP68" s="1"/>
  <c r="AP43" l="1"/>
  <c r="AA83" i="13" l="1"/>
  <c r="AA84" s="1"/>
  <c r="Z85" s="1"/>
  <c r="Z87" s="1"/>
  <c r="Z85" i="12"/>
  <c r="Z87" s="1"/>
  <c r="AN36" l="1" a="1"/>
  <c r="AN36" s="1"/>
  <c r="AN40" a="1"/>
  <c r="AN40" s="1"/>
  <c r="AN21" i="13" a="1"/>
  <c r="AN21" s="1"/>
  <c r="AN39" i="12" a="1"/>
  <c r="AN39" s="1"/>
  <c r="AN37" a="1"/>
  <c r="AN37" s="1"/>
  <c r="AN30" i="13" a="1"/>
  <c r="AN30" s="1"/>
  <c r="AN23" a="1"/>
  <c r="AN23" s="1"/>
  <c r="AN40" a="1"/>
  <c r="AN40" s="1"/>
  <c r="AN21" i="12" a="1"/>
  <c r="AN21" s="1"/>
  <c r="AN30" a="1"/>
  <c r="AN30" s="1"/>
  <c r="AN33" i="13" l="1" a="1"/>
  <c r="AN33" s="1"/>
  <c r="AN36" a="1"/>
  <c r="AN36" s="1"/>
  <c r="AN34" i="12" a="1"/>
  <c r="AN34" s="1"/>
  <c r="AN37" i="13" a="1"/>
  <c r="AN37" s="1"/>
  <c r="AN49" a="1"/>
  <c r="AN49" s="1"/>
  <c r="AN59" a="1"/>
  <c r="AN59" s="1"/>
  <c r="AN54" a="1"/>
  <c r="AN54" s="1"/>
  <c r="AN51" i="12" a="1"/>
  <c r="AN51" s="1"/>
  <c r="AN65" a="1"/>
  <c r="AN65" s="1"/>
  <c r="AN54" a="1"/>
  <c r="AN54" s="1"/>
  <c r="AN60" i="13" a="1"/>
  <c r="AN60" s="1"/>
  <c r="AN50" i="12" a="1"/>
  <c r="AN50" s="1"/>
  <c r="AH53" s="1"/>
  <c r="AN67" i="13" a="1"/>
  <c r="AN67" s="1"/>
  <c r="AN63" a="1"/>
  <c r="AN63" s="1"/>
  <c r="AN50" a="1"/>
  <c r="AN50" s="1"/>
  <c r="AN65" a="1"/>
  <c r="AN65" s="1"/>
  <c r="AN59" i="12" a="1"/>
  <c r="AN59" s="1"/>
  <c r="AI24" i="13" a="1"/>
  <c r="AI24" s="1"/>
  <c r="AH22" s="1"/>
  <c r="AH28" s="1"/>
  <c r="AN63" i="12" a="1"/>
  <c r="AN63" s="1"/>
  <c r="AN51" i="13" a="1"/>
  <c r="AN51" s="1"/>
  <c r="AN60" i="12" a="1"/>
  <c r="AN60" s="1"/>
  <c r="AN48" i="13" a="1"/>
  <c r="AN48" s="1"/>
  <c r="AN67" i="12" a="1"/>
  <c r="AN67" s="1"/>
  <c r="AI24" a="1"/>
  <c r="AI24" s="1"/>
  <c r="AN34" i="13" a="1"/>
  <c r="AN34" s="1"/>
  <c r="AN38" a="1"/>
  <c r="AN38" s="1"/>
  <c r="AN33" i="12" a="1"/>
  <c r="AN33" s="1"/>
  <c r="AN23" a="1"/>
  <c r="AN23" s="1"/>
  <c r="AN39" i="13" a="1"/>
  <c r="AN39" s="1"/>
  <c r="AN38" i="12" a="1"/>
  <c r="AN38" s="1"/>
  <c r="AH53" i="13" l="1"/>
  <c r="AH41"/>
  <c r="AH41" i="12"/>
  <c r="AR68"/>
  <c r="AR68" i="13"/>
  <c r="AH43"/>
  <c r="AH22" i="12"/>
  <c r="AH28" s="1"/>
  <c r="AH66"/>
  <c r="AH68" s="1"/>
  <c r="AH66" i="13"/>
  <c r="AH68" s="1"/>
  <c r="AS68" s="1"/>
  <c r="AP68" l="1"/>
  <c r="AH43" i="12"/>
  <c r="AP43" s="1"/>
  <c r="AP43" i="13"/>
  <c r="AS68" i="12"/>
  <c r="AP68" l="1"/>
  <c r="AI24" i="17" l="1" a="1"/>
  <c r="AI24" s="1"/>
  <c r="AH22" s="1"/>
  <c r="AH28" s="1"/>
  <c r="AH66" l="1"/>
  <c r="AH53"/>
  <c r="AR68"/>
  <c r="AH41"/>
  <c r="AH43" s="1"/>
  <c r="AP43" l="1"/>
  <c r="AH68"/>
  <c r="AS68" s="1"/>
  <c r="AP68" l="1"/>
  <c r="Z85" i="11"/>
  <c r="Z8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<sst xmlns="http://schemas.openxmlformats.org/spreadsheetml/2006/main" count="2602" uniqueCount="317">
  <si>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</si>
  <si>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</si>
  <si>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</si>
  <si>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</si>
  <si>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</si>
  <si>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</si>
  <si>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</si>
  <si>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</si>
  <si>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</si>
  <si>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</si>
  <si>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</si>
  <si>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</si>
  <si>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</si>
  <si>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</si>
  <si>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</si>
  <si>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</si>
  <si>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</si>
  <si>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</si>
  <si>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</si>
  <si>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</si>
  <si>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</si>
  <si>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</si>
  <si>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</si>
  <si>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</si>
  <si>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</si>
  <si>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</si>
  <si>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</si>
  <si>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</si>
  <si>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</si>
  <si>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</si>
  <si>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</si>
  <si>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</si>
  <si>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</si>
  <si>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</si>
  <si>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</si>
  <si>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</si>
  <si>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</si>
  <si>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</si>
  <si>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</si>
  <si>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</si>
  <si>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</si>
  <si>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</si>
  <si>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</si>
  <si>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</si>
  <si>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</si>
  <si>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</si>
  <si>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</si>
  <si>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</si>
  <si>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</si>
  <si>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</si>
  <si>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</si>
  <si>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</si>
  <si>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</si>
  <si>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</si>
  <si>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</si>
  <si>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</si>
  <si>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</si>
  <si>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</si>
  <si>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</si>
  <si>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</si>
  <si>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</si>
  <si>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</si>
  <si>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</si>
  <si>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</si>
  <si>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</si>
  <si>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</si>
  <si>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</si>
  <si>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</si>
  <si>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</si>
  <si>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</si>
  <si>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</si>
  <si>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</si>
  <si>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</si>
  <si>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</si>
  <si>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</si>
  <si>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</si>
  <si>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</si>
  <si>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</si>
  <si>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</si>
  <si>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</si>
  <si>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</si>
  <si>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</si>
  <si>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</si>
  <si>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</si>
  <si>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</si>
  <si>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</si>
  <si>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</si>
  <si>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</si>
  <si>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</si>
  <si>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</si>
  <si>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</si>
  <si>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</si>
  <si>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</si>
  <si>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</si>
  <si>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</si>
  <si>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</si>
  <si>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</si>
  <si>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</si>
  <si>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</si>
  <si>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</si>
  <si>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</si>
  <si>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</si>
  <si>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</si>
  <si>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</si>
  <si>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</si>
  <si>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</si>
  <si>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</si>
  <si>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</si>
  <si>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</si>
  <si>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</si>
  <si>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</si>
  <si>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</si>
  <si>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</si>
  <si>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</si>
  <si>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</si>
  <si>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</si>
  <si>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</si>
  <si>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</si>
  <si>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</si>
  <si>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</si>
  <si>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</si>
  <si>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</si>
  <si>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</si>
  <si>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</si>
  <si>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</si>
  <si>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</si>
  <si>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</si>
  <si>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</si>
  <si>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</si>
  <si>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</si>
  <si>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</si>
  <si>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</si>
  <si>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</si>
  <si>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</si>
  <si>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</si>
  <si>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</si>
  <si>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</si>
  <si>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</si>
  <si>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</si>
  <si>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</si>
  <si>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</si>
  <si>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</si>
  <si>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</si>
  <si>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</si>
  <si>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</si>
  <si>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</si>
  <si>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</si>
  <si>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</si>
  <si>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</si>
  <si>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</si>
  <si>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</si>
  <si>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</si>
  <si>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</si>
  <si>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</si>
  <si>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</si>
  <si>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</si>
  <si>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</si>
  <si>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</si>
  <si>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</si>
  <si>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</si>
  <si>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</si>
  <si>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</si>
  <si>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</si>
  <si>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</si>
  <si>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</si>
  <si>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</si>
  <si>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</si>
  <si>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</si>
  <si>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</si>
  <si>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</si>
  <si>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</si>
  <si>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</si>
  <si>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</si>
  <si>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</si>
  <si>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</si>
  <si>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</si>
  <si>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</si>
  <si>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</si>
  <si>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</si>
  <si>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</si>
  <si>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</si>
  <si>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</si>
  <si>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</si>
  <si>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</si>
  <si>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</si>
  <si>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</si>
  <si>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</si>
  <si>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</si>
  <si>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</si>
  <si>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</si>
  <si>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</si>
  <si>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</si>
  <si>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</si>
  <si>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</si>
  <si>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</si>
  <si>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</si>
  <si>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</si>
  <si>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</si>
  <si>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</si>
  <si>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</si>
  <si>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</si>
  <si>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</si>
  <si>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</si>
  <si>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</si>
  <si>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</si>
  <si>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</si>
  <si>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</si>
  <si>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</si>
  <si>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</si>
  <si>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</si>
  <si>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</si>
  <si>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</si>
  <si>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</si>
  <si>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</si>
  <si>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</si>
  <si>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</si>
  <si>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</si>
  <si>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</si>
  <si>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)</t>
  </si>
  <si>
    <t>(</t>
  </si>
  <si>
    <t>КНП ХОР "Обласний протитуберкульозний диспансер №1"</t>
  </si>
  <si>
    <t>61096 Харківська область, м.Харків, Слобідський район, вул.Ньютона, б.145</t>
  </si>
  <si>
    <t>Комунальне підприємство</t>
  </si>
  <si>
    <t>Діяльність лікарняних закладів</t>
  </si>
  <si>
    <t>6310138500</t>
  </si>
  <si>
    <t>150</t>
  </si>
  <si>
    <t>86.10</t>
  </si>
  <si>
    <t>І.М. Калмикова</t>
  </si>
  <si>
    <t>Н.О. Яворська</t>
  </si>
  <si>
    <t>04</t>
  </si>
  <si>
    <t>02002760</t>
  </si>
  <si>
    <t>13</t>
  </si>
  <si>
    <t>11</t>
  </si>
  <si>
    <t>10</t>
  </si>
  <si>
    <t>2711</t>
  </si>
  <si>
    <t>2114</t>
  </si>
  <si>
    <t>2110</t>
  </si>
  <si>
    <t>2111</t>
  </si>
  <si>
    <t>2113</t>
  </si>
  <si>
    <t>2116</t>
  </si>
  <si>
    <t>23</t>
  </si>
  <si>
    <t>2213</t>
  </si>
  <si>
    <t>2113/c</t>
  </si>
  <si>
    <t>2020</t>
  </si>
  <si>
    <t>за I квартал 2020 рік</t>
  </si>
  <si>
    <t xml:space="preserve">                                      на  01.04. 2020 року</t>
  </si>
  <si>
    <t>224</t>
  </si>
  <si>
    <t>15</t>
  </si>
  <si>
    <t>135</t>
  </si>
  <si>
    <t>161</t>
  </si>
  <si>
    <t>163</t>
  </si>
  <si>
    <t>165</t>
  </si>
  <si>
    <t>34</t>
  </si>
  <si>
    <t>36</t>
  </si>
  <si>
    <t>378</t>
  </si>
  <si>
    <t>641</t>
  </si>
  <si>
    <t>642</t>
  </si>
  <si>
    <t>651</t>
  </si>
  <si>
    <t>652</t>
  </si>
  <si>
    <t>37 (за -378)</t>
  </si>
  <si>
    <t>66</t>
  </si>
  <si>
    <t>653</t>
  </si>
  <si>
    <t>654</t>
  </si>
  <si>
    <t>68 (за -кредит 38)</t>
  </si>
  <si>
    <t>334</t>
  </si>
  <si>
    <t>335</t>
  </si>
  <si>
    <t>351</t>
  </si>
  <si>
    <t>331</t>
  </si>
  <si>
    <t>332</t>
  </si>
  <si>
    <t>39</t>
  </si>
  <si>
    <t>41</t>
  </si>
  <si>
    <t>42</t>
  </si>
  <si>
    <t>43</t>
  </si>
  <si>
    <t>48</t>
  </si>
  <si>
    <t>50-55</t>
  </si>
  <si>
    <t>63</t>
  </si>
  <si>
    <t>62</t>
  </si>
  <si>
    <t>644</t>
  </si>
  <si>
    <t>67</t>
  </si>
  <si>
    <t>68 (без 684)</t>
  </si>
  <si>
    <t>680</t>
  </si>
  <si>
    <t xml:space="preserve">                                      на  01.07. 2020 року</t>
  </si>
  <si>
    <t>07</t>
  </si>
  <si>
    <t>за  ІІ квартал 2020 рік</t>
  </si>
  <si>
    <t>352</t>
  </si>
  <si>
    <t>644/1</t>
  </si>
  <si>
    <t>за  І півріччя 2020 рік</t>
  </si>
  <si>
    <t xml:space="preserve">                                      на  01.10. 2020 року</t>
  </si>
  <si>
    <t>0</t>
  </si>
  <si>
    <t>за 9 місяців 2020 рік</t>
  </si>
  <si>
    <t>2021</t>
  </si>
  <si>
    <t xml:space="preserve">                                      на  01.01. 2021 року</t>
  </si>
  <si>
    <t>за рік 2020 рік</t>
  </si>
  <si>
    <t>(                                         )</t>
  </si>
  <si>
    <t>192</t>
  </si>
  <si>
    <t>(10253,9)</t>
  </si>
  <si>
    <t>(       12961,17         )</t>
  </si>
  <si>
    <t>(         343,83           )</t>
  </si>
  <si>
    <t>(          2,7               )</t>
  </si>
  <si>
    <t>(        13307,7          )</t>
  </si>
  <si>
    <t xml:space="preserve">     (                                )</t>
  </si>
  <si>
    <t>III. Необоротні активи, утримувані для продажу, та групи вибуття</t>
  </si>
  <si>
    <t>на  01.04. 2021 року</t>
  </si>
  <si>
    <t xml:space="preserve">                    1. Баланс  Форма № 1-м</t>
  </si>
  <si>
    <t>за 1 квартал 2021 року</t>
  </si>
  <si>
    <t>(       15941,5         )</t>
  </si>
  <si>
    <t>(       244,1      )</t>
  </si>
  <si>
    <t>(       1168,4         )</t>
  </si>
  <si>
    <t>на  01.10. 2021 року</t>
  </si>
  <si>
    <t>за 9 місяців 2021 року</t>
  </si>
  <si>
    <t>997,1</t>
  </si>
  <si>
    <t>1508,6</t>
  </si>
  <si>
    <t>26043,1</t>
  </si>
  <si>
    <t>368</t>
  </si>
  <si>
    <t>на  01.01. 2022 року</t>
  </si>
  <si>
    <t>за  2021 рік</t>
  </si>
  <si>
    <t>365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</si>
</sst>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164" fontId="1" fillId="0" borderId="2" xfId="0" applyNumberFormat="1" applyFont="1" applyBorder="1" applyAlignment="1"/>
    <xf numFmtId="164" fontId="1" fillId="0" borderId="7" xfId="0" applyNumberFormat="1" applyFont="1" applyBorder="1" applyAlignment="1"/>
    <xf numFmtId="0" fontId="14" fillId="0" borderId="0" xfId="0" applyFont="1" applyProtection="1"/>
    <xf numFmtId="0" fontId="4" fillId="0" borderId="2" xfId="0" applyNumberFormat="1" applyFont="1" applyBorder="1" applyAlignment="1"/>
    <xf numFmtId="164" fontId="1" fillId="0" borderId="5" xfId="0" applyNumberFormat="1" applyFont="1" applyBorder="1" applyAlignment="1"/>
    <xf numFmtId="164" fontId="4" fillId="0" borderId="7" xfId="0" applyNumberFormat="1" applyFont="1" applyBorder="1" applyAlignment="1"/>
    <xf numFmtId="2" fontId="1" fillId="0" borderId="0" xfId="0" applyNumberFormat="1" applyFont="1"/>
    <xf numFmtId="165" fontId="7" fillId="0" borderId="0" xfId="0" applyNumberFormat="1" applyFont="1" applyFill="1"/>
    <xf numFmtId="0" fontId="1" fillId="0" borderId="3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4" xfId="0" applyNumberFormat="1" applyFont="1" applyBorder="1" applyAlignment="1"/>
    <xf numFmtId="0" fontId="1" fillId="0" borderId="3" xfId="0" applyNumberFormat="1" applyFont="1" applyBorder="1"/>
    <xf numFmtId="0" fontId="1" fillId="0" borderId="4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NumberFormat="1" applyFont="1" applyBorder="1"/>
    <xf numFmtId="0" fontId="4" fillId="0" borderId="6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1" fillId="0" borderId="6" xfId="0" applyFont="1" applyBorder="1" applyAlignment="1"/>
    <xf numFmtId="0" fontId="1" fillId="0" borderId="7" xfId="0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1" fillId="0" borderId="4" xfId="0" applyNumberFormat="1" applyFont="1" applyBorder="1" applyAlignme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/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164" fontId="1" fillId="0" borderId="2" xfId="0" applyNumberFormat="1" applyFont="1" applyBorder="1" applyAlignment="1">
      <alignment wrapText="1"/>
    </xf>
    <xf numFmtId="49" fontId="15" fillId="0" borderId="0" xfId="0" applyNumberFormat="1" applyFont="1"/>
    <xf numFmtId="0" fontId="15" fillId="0" borderId="0" xfId="0" applyFont="1" applyProtection="1"/>
    <xf numFmtId="0" fontId="1" fillId="0" borderId="7" xfId="0" applyFont="1" applyBorder="1"/>
    <xf numFmtId="0" fontId="1" fillId="0" borderId="11" xfId="0" applyFont="1" applyBorder="1"/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166" fontId="7" fillId="0" borderId="0" xfId="0" applyNumberFormat="1" applyFont="1" applyFill="1"/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1" fillId="0" borderId="4" xfId="0" applyNumberFormat="1" applyFont="1" applyBorder="1" applyAlignme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2" fontId="1" fillId="0" borderId="7" xfId="0" applyNumberFormat="1" applyFont="1" applyBorder="1" applyAlignment="1"/>
    <xf numFmtId="2" fontId="1" fillId="0" borderId="5" xfId="0" applyNumberFormat="1" applyFont="1" applyBorder="1" applyAlignment="1"/>
    <xf numFmtId="2" fontId="1" fillId="0" borderId="2" xfId="0" applyNumberFormat="1" applyFont="1" applyBorder="1" applyAlignment="1"/>
    <xf numFmtId="2" fontId="4" fillId="0" borderId="7" xfId="0" applyNumberFormat="1" applyFont="1" applyBorder="1" applyAlignment="1"/>
    <xf numFmtId="2" fontId="1" fillId="0" borderId="6" xfId="0" applyNumberFormat="1" applyFont="1" applyBorder="1" applyAlignment="1"/>
    <xf numFmtId="2" fontId="1" fillId="0" borderId="11" xfId="0" applyNumberFormat="1" applyFont="1" applyBorder="1" applyAlignment="1"/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1" fillId="0" borderId="4" xfId="0" applyNumberFormat="1" applyFont="1" applyBorder="1" applyAlignme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164" fontId="1" fillId="0" borderId="2" xfId="0" applyNumberFormat="1" applyFont="1" applyBorder="1" applyAlignment="1"/>
    <xf numFmtId="164" fontId="1" fillId="0" borderId="7" xfId="0" applyNumberFormat="1" applyFont="1" applyBorder="1" applyAlignment="1"/>
    <xf numFmtId="164" fontId="1" fillId="3" borderId="2" xfId="0" applyNumberFormat="1" applyFont="1" applyFill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4" xfId="0" applyNumberFormat="1" applyFont="1" applyBorder="1" applyAlignment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0" fontId="1" fillId="0" borderId="0" xfId="0" applyNumberFormat="1" applyFont="1" applyBorder="1"/>
    <xf numFmtId="164" fontId="1" fillId="0" borderId="2" xfId="0" applyNumberFormat="1" applyFont="1" applyBorder="1" applyAlignment="1">
      <alignment horizontal="center" wrapText="1"/>
    </xf>
    <xf numFmtId="0" fontId="4" fillId="0" borderId="7" xfId="0" applyFont="1" applyBorder="1" applyAlignment="1"/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49" fontId="4" fillId="0" borderId="8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/>
    <xf numFmtId="164" fontId="4" fillId="0" borderId="2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/>
    <xf numFmtId="0" fontId="1" fillId="0" borderId="6" xfId="0" applyNumberFormat="1" applyFont="1" applyFill="1" applyBorder="1" applyAlignment="1"/>
    <xf numFmtId="164" fontId="4" fillId="0" borderId="7" xfId="0" applyNumberFormat="1" applyFont="1" applyFill="1" applyBorder="1" applyAlignme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2" xfId="0" applyNumberFormat="1" applyFont="1" applyBorder="1" applyAlignment="1"/>
    <xf numFmtId="49" fontId="4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/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justify" wrapText="1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3" fillId="0" borderId="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/>
    <xf numFmtId="0" fontId="4" fillId="0" borderId="8" xfId="0" applyNumberFormat="1" applyFont="1" applyBorder="1"/>
    <xf numFmtId="0" fontId="1" fillId="0" borderId="6" xfId="0" applyNumberFormat="1" applyFont="1" applyBorder="1"/>
    <xf numFmtId="0" fontId="1" fillId="0" borderId="2" xfId="0" applyNumberFormat="1" applyFont="1" applyBorder="1"/>
    <xf numFmtId="0" fontId="1" fillId="0" borderId="7" xfId="0" applyNumberFormat="1" applyFont="1" applyBorder="1"/>
    <xf numFmtId="0" fontId="1" fillId="0" borderId="6" xfId="0" applyNumberFormat="1" applyFont="1" applyBorder="1" applyAlignment="1"/>
    <xf numFmtId="0" fontId="4" fillId="0" borderId="12" xfId="0" applyNumberFormat="1" applyFont="1" applyBorder="1"/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0" fontId="1" fillId="0" borderId="2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left" wrapText="1" indent="2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1" xfId="0" applyNumberFormat="1" applyFont="1" applyBorder="1"/>
    <xf numFmtId="49" fontId="1" fillId="0" borderId="8" xfId="0" applyNumberFormat="1" applyFont="1" applyBorder="1" applyAlignment="1">
      <alignment horizontal="left" wrapText="1" indent="1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0" borderId="11" xfId="0" applyNumberFormat="1" applyFont="1" applyBorder="1" applyAlignment="1"/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1" fillId="0" borderId="12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4" fillId="0" borderId="13" xfId="0" applyNumberFormat="1" applyFont="1" applyBorder="1"/>
    <xf numFmtId="0" fontId="4" fillId="0" borderId="13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1" fillId="0" borderId="13" xfId="0" applyNumberFormat="1" applyFont="1" applyBorder="1"/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1" fillId="0" borderId="15" xfId="0" applyNumberFormat="1" applyFont="1" applyBorder="1"/>
    <xf numFmtId="0" fontId="1" fillId="0" borderId="0" xfId="0" applyNumberFormat="1" applyFont="1" applyBorder="1"/>
    <xf numFmtId="0" fontId="1" fillId="0" borderId="9" xfId="0" applyNumberFormat="1" applyFont="1" applyBorder="1"/>
    <xf numFmtId="0" fontId="1" fillId="0" borderId="14" xfId="0" applyNumberFormat="1" applyFont="1" applyBorder="1" applyAlignment="1">
      <alignment horizontal="right"/>
    </xf>
    <xf numFmtId="0" fontId="1" fillId="0" borderId="14" xfId="0" applyNumberFormat="1" applyFont="1" applyBorder="1"/>
    <xf numFmtId="0" fontId="1" fillId="0" borderId="15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/>
    <xf numFmtId="164" fontId="1" fillId="0" borderId="8" xfId="0" applyNumberFormat="1" applyFont="1" applyBorder="1" applyAlignment="1"/>
    <xf numFmtId="164" fontId="1" fillId="0" borderId="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center"/>
    </xf>
    <xf numFmtId="2" fontId="4" fillId="0" borderId="8" xfId="0" applyNumberFormat="1" applyFont="1" applyBorder="1"/>
    <xf numFmtId="2" fontId="1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4" fillId="0" borderId="13" xfId="0" applyNumberFormat="1" applyFont="1" applyBorder="1"/>
    <xf numFmtId="2" fontId="4" fillId="0" borderId="12" xfId="0" applyNumberFormat="1" applyFont="1" applyBorder="1"/>
    <xf numFmtId="2" fontId="1" fillId="0" borderId="6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64" fontId="4" fillId="0" borderId="12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2" fontId="1" fillId="0" borderId="14" xfId="0" applyNumberFormat="1" applyFont="1" applyBorder="1"/>
    <xf numFmtId="2" fontId="1" fillId="0" borderId="2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center" wrapText="1"/>
    </xf>
    <xf numFmtId="0" fontId="1" fillId="3" borderId="6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/>
    <xf numFmtId="164" fontId="1" fillId="0" borderId="2" xfId="0" applyNumberFormat="1" applyFont="1" applyBorder="1" applyAlignment="1"/>
    <xf numFmtId="164" fontId="1" fillId="0" borderId="7" xfId="0" applyNumberFormat="1" applyFont="1" applyBorder="1" applyAlignment="1"/>
    <xf numFmtId="164" fontId="1" fillId="3" borderId="2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vertical="center"/>
    </xf>
    <xf numFmtId="164" fontId="16" fillId="0" borderId="8" xfId="0" applyNumberFormat="1" applyFont="1" applyFill="1" applyBorder="1" applyAlignment="1" applyProtection="1">
      <alignment horizontal="right"/>
      <protection locked="0"/>
    </xf>
    <xf numFmtId="164" fontId="1" fillId="0" borderId="8" xfId="0" applyNumberFormat="1" applyFont="1" applyBorder="1" applyAlignment="1">
      <alignment horizontal="right"/>
    </xf>
    <xf numFmtId="164" fontId="1" fillId="0" borderId="8" xfId="0" applyNumberFormat="1" applyFont="1" applyBorder="1"/>
    <xf numFmtId="0" fontId="1" fillId="0" borderId="6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0" fontId="4" fillId="0" borderId="8" xfId="0" applyNumberFormat="1" applyFont="1" applyBorder="1" applyAlignment="1">
      <alignment horizontal="right"/>
    </xf>
    <xf numFmtId="49" fontId="1" fillId="0" borderId="8" xfId="0" applyNumberFormat="1" applyFont="1" applyBorder="1"/>
    <xf numFmtId="0" fontId="16" fillId="0" borderId="6" xfId="0" applyNumberFormat="1" applyFont="1" applyFill="1" applyBorder="1" applyAlignment="1" applyProtection="1">
      <alignment horizontal="right"/>
      <protection locked="0"/>
    </xf>
    <xf numFmtId="0" fontId="16" fillId="0" borderId="2" xfId="0" applyNumberFormat="1" applyFont="1" applyFill="1" applyBorder="1" applyAlignment="1" applyProtection="1">
      <alignment horizontal="right"/>
      <protection locked="0"/>
    </xf>
    <xf numFmtId="0" fontId="16" fillId="0" borderId="7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4" fontId="16" fillId="0" borderId="6" xfId="0" applyNumberFormat="1" applyFont="1" applyFill="1" applyBorder="1" applyAlignment="1" applyProtection="1">
      <alignment horizontal="right"/>
      <protection locked="0"/>
    </xf>
    <xf numFmtId="164" fontId="16" fillId="0" borderId="2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3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5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40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50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5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Documents/&#1043;&#1083;&#1072;&#1074;&#1085;&#1099;&#1081;%20&#1073;&#1091;&#1093;&#1075;&#1072;&#1083;&#1090;&#1077;&#1088;/2020%20&#1088;&#1110;&#1082;/2020%20&#1043;&#1083;&#1072;&#1074;&#1085;&#1072;&#1103;%20&#1082;&#1085;&#1080;&#107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AppData/Roaming/Microsoft/Excel/1%20&#1082;&#1074;&#1072;&#1088;&#1090;&#1072;&#1083;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AppData/Roaming/Microsoft/Excel/2%20&#1082;&#1074;&#1072;&#1088;&#1090;&#1072;&#1083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82;&#1074;&#1072;&#1088;&#1090;&#1072;&#1083;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82;&#1074;&#1072;&#1088;&#1090;&#1072;&#1083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20"/>
      <sheetName val="февраль 2020"/>
      <sheetName val="март 2020"/>
      <sheetName val="таблица"/>
      <sheetName val="апрель 2020"/>
      <sheetName val="май 2020"/>
      <sheetName val="июнь 2020"/>
      <sheetName val="июнь 2020(2)"/>
      <sheetName val="июль 2020"/>
      <sheetName val="август 2020"/>
      <sheetName val="сентябрь 2020"/>
      <sheetName val="октябрь 2020"/>
      <sheetName val="ноябрь 2020"/>
      <sheetName val="декабрь 2020"/>
    </sheetNames>
    <sheetDataSet>
      <sheetData sheetId="0" refreshError="1"/>
      <sheetData sheetId="1" refreshError="1"/>
      <sheetData sheetId="2" refreshError="1">
        <row r="3">
          <cell r="A3">
            <v>1013</v>
          </cell>
          <cell r="AV3">
            <v>2371073.7999999998</v>
          </cell>
          <cell r="AW3">
            <v>0</v>
          </cell>
        </row>
        <row r="4">
          <cell r="A4">
            <v>1014</v>
          </cell>
          <cell r="AV4">
            <v>10747862.220000003</v>
          </cell>
          <cell r="AW4">
            <v>0</v>
          </cell>
        </row>
        <row r="5">
          <cell r="A5">
            <v>1015</v>
          </cell>
          <cell r="AV5">
            <v>163376</v>
          </cell>
          <cell r="AW5">
            <v>0</v>
          </cell>
        </row>
        <row r="6">
          <cell r="A6">
            <v>1016</v>
          </cell>
          <cell r="AV6">
            <v>565193</v>
          </cell>
          <cell r="AW6">
            <v>0</v>
          </cell>
        </row>
        <row r="7">
          <cell r="A7">
            <v>1017</v>
          </cell>
          <cell r="AV7">
            <v>7131</v>
          </cell>
          <cell r="AW7">
            <v>0</v>
          </cell>
        </row>
        <row r="8">
          <cell r="A8">
            <v>1411</v>
          </cell>
          <cell r="AV8">
            <v>0</v>
          </cell>
          <cell r="AW8">
            <v>-8929944.1099999994</v>
          </cell>
        </row>
        <row r="9">
          <cell r="A9">
            <v>1412</v>
          </cell>
          <cell r="AV9">
            <v>0</v>
          </cell>
          <cell r="AW9">
            <v>-748209.39999999991</v>
          </cell>
        </row>
        <row r="10">
          <cell r="A10">
            <v>1511</v>
          </cell>
          <cell r="AV10">
            <v>211061.25999999989</v>
          </cell>
          <cell r="AW10">
            <v>0</v>
          </cell>
        </row>
        <row r="11">
          <cell r="A11" t="str">
            <v>1113/01</v>
          </cell>
          <cell r="AV11">
            <v>1066782.6400000001</v>
          </cell>
          <cell r="AW11">
            <v>0</v>
          </cell>
        </row>
        <row r="12">
          <cell r="A12" t="str">
            <v>1113/1</v>
          </cell>
          <cell r="AV12">
            <v>0</v>
          </cell>
          <cell r="AW12">
            <v>0</v>
          </cell>
        </row>
        <row r="13">
          <cell r="A13" t="str">
            <v>1113/11</v>
          </cell>
          <cell r="AV13">
            <v>205242.16999999998</v>
          </cell>
          <cell r="AW13">
            <v>0</v>
          </cell>
        </row>
        <row r="14">
          <cell r="A14" t="str">
            <v>1114/01</v>
          </cell>
          <cell r="AV14">
            <v>217533.98</v>
          </cell>
          <cell r="AW14">
            <v>0</v>
          </cell>
        </row>
        <row r="15">
          <cell r="A15" t="str">
            <v>1114/11</v>
          </cell>
          <cell r="AV15">
            <v>6860</v>
          </cell>
          <cell r="AW15">
            <v>0</v>
          </cell>
        </row>
        <row r="16">
          <cell r="A16" t="str">
            <v>1311/0</v>
          </cell>
          <cell r="AV16">
            <v>8105</v>
          </cell>
          <cell r="AW16">
            <v>0</v>
          </cell>
        </row>
        <row r="17">
          <cell r="A17" t="str">
            <v>1312/0</v>
          </cell>
          <cell r="AV17">
            <v>26506</v>
          </cell>
          <cell r="AW17">
            <v>0</v>
          </cell>
        </row>
        <row r="18">
          <cell r="A18" t="str">
            <v>1312/1</v>
          </cell>
          <cell r="AV18">
            <v>167005.76000000001</v>
          </cell>
          <cell r="AW18">
            <v>0</v>
          </cell>
        </row>
        <row r="19">
          <cell r="A19" t="str">
            <v>1512/0</v>
          </cell>
          <cell r="AV19">
            <v>104834.53000000007</v>
          </cell>
          <cell r="AW19">
            <v>0</v>
          </cell>
        </row>
        <row r="20">
          <cell r="A20" t="str">
            <v>1512/01</v>
          </cell>
          <cell r="AV20">
            <v>559443.89999999967</v>
          </cell>
          <cell r="AW20">
            <v>0</v>
          </cell>
        </row>
        <row r="21">
          <cell r="A21" t="str">
            <v>1512/1</v>
          </cell>
          <cell r="AV21">
            <v>13404069.870000007</v>
          </cell>
          <cell r="AW21">
            <v>0</v>
          </cell>
        </row>
        <row r="22">
          <cell r="A22" t="str">
            <v>1512/10</v>
          </cell>
          <cell r="AV22">
            <v>90887.090000000011</v>
          </cell>
          <cell r="AW22">
            <v>0</v>
          </cell>
        </row>
        <row r="23">
          <cell r="A23" t="str">
            <v>1512/11</v>
          </cell>
          <cell r="AV23">
            <v>17174.789999999997</v>
          </cell>
          <cell r="AW23">
            <v>0</v>
          </cell>
        </row>
        <row r="24">
          <cell r="A24" t="str">
            <v>1512/12</v>
          </cell>
          <cell r="AV24">
            <v>0</v>
          </cell>
          <cell r="AW24">
            <v>0</v>
          </cell>
        </row>
        <row r="25">
          <cell r="A25" t="str">
            <v>1512/14</v>
          </cell>
          <cell r="AV25">
            <v>669111.27000000037</v>
          </cell>
          <cell r="AW25">
            <v>0</v>
          </cell>
        </row>
        <row r="26">
          <cell r="A26" t="str">
            <v>1512/15</v>
          </cell>
          <cell r="AV26">
            <v>23769.88</v>
          </cell>
          <cell r="AW26">
            <v>0</v>
          </cell>
        </row>
        <row r="27">
          <cell r="A27" t="str">
            <v>1512/21</v>
          </cell>
          <cell r="AV27">
            <v>1153244.0700000008</v>
          </cell>
          <cell r="AW27">
            <v>0</v>
          </cell>
        </row>
        <row r="28">
          <cell r="A28" t="str">
            <v>1512/22</v>
          </cell>
          <cell r="AV28">
            <v>17907.750000000029</v>
          </cell>
          <cell r="AW28">
            <v>0</v>
          </cell>
        </row>
        <row r="29">
          <cell r="A29" t="str">
            <v>1512/23</v>
          </cell>
          <cell r="AV29">
            <v>23364.539999999997</v>
          </cell>
          <cell r="AW29">
            <v>0</v>
          </cell>
        </row>
        <row r="30">
          <cell r="A30" t="str">
            <v>1512/24</v>
          </cell>
          <cell r="AV30">
            <v>79004.109999998967</v>
          </cell>
          <cell r="AW30">
            <v>0</v>
          </cell>
        </row>
        <row r="31">
          <cell r="A31" t="str">
            <v>1512/241</v>
          </cell>
          <cell r="AV31">
            <v>9.0949470177292824E-12</v>
          </cell>
          <cell r="AW31">
            <v>0</v>
          </cell>
        </row>
        <row r="32">
          <cell r="A32" t="str">
            <v>1512/25</v>
          </cell>
          <cell r="AV32">
            <v>42947.109999999891</v>
          </cell>
          <cell r="AW32">
            <v>0</v>
          </cell>
        </row>
        <row r="33">
          <cell r="A33" t="str">
            <v>1512/3</v>
          </cell>
          <cell r="AV33">
            <v>652785.87</v>
          </cell>
          <cell r="AW33">
            <v>0</v>
          </cell>
        </row>
        <row r="34">
          <cell r="A34" t="str">
            <v>1512/5</v>
          </cell>
          <cell r="AV34">
            <v>511.24000000000007</v>
          </cell>
          <cell r="AW34">
            <v>0</v>
          </cell>
        </row>
        <row r="35">
          <cell r="A35" t="str">
            <v>1512/6</v>
          </cell>
          <cell r="AV35">
            <v>207089.88000000006</v>
          </cell>
          <cell r="AW35">
            <v>0</v>
          </cell>
        </row>
        <row r="36">
          <cell r="A36" t="str">
            <v>1512/7</v>
          </cell>
          <cell r="AV36">
            <v>0</v>
          </cell>
          <cell r="AW36">
            <v>0</v>
          </cell>
        </row>
        <row r="37">
          <cell r="A37" t="str">
            <v>1512/812</v>
          </cell>
          <cell r="AV37">
            <v>817.38000000000261</v>
          </cell>
          <cell r="AW37">
            <v>0</v>
          </cell>
        </row>
        <row r="38">
          <cell r="A38" t="str">
            <v>1512/242</v>
          </cell>
          <cell r="AV38">
            <v>28153.479999999996</v>
          </cell>
          <cell r="AW38">
            <v>0</v>
          </cell>
        </row>
        <row r="39">
          <cell r="A39" t="str">
            <v>1513/0</v>
          </cell>
          <cell r="AV39">
            <v>2485</v>
          </cell>
          <cell r="AW39">
            <v>0</v>
          </cell>
        </row>
        <row r="40">
          <cell r="A40" t="str">
            <v>1513/01</v>
          </cell>
          <cell r="AV40">
            <v>26651.050000000003</v>
          </cell>
          <cell r="AW40">
            <v>0</v>
          </cell>
        </row>
        <row r="41">
          <cell r="A41" t="str">
            <v>1513/1</v>
          </cell>
          <cell r="AV41">
            <v>0</v>
          </cell>
          <cell r="AW41">
            <v>0</v>
          </cell>
        </row>
        <row r="42">
          <cell r="A42" t="str">
            <v>1513/11</v>
          </cell>
          <cell r="AV42">
            <v>2500.9999999999995</v>
          </cell>
          <cell r="AW42">
            <v>0</v>
          </cell>
        </row>
        <row r="43">
          <cell r="A43" t="str">
            <v>1514/0</v>
          </cell>
          <cell r="AV43">
            <v>34010.999999999993</v>
          </cell>
          <cell r="AW43">
            <v>0</v>
          </cell>
        </row>
        <row r="44">
          <cell r="A44" t="str">
            <v>1514/01</v>
          </cell>
          <cell r="AV44">
            <v>1636.4900000000007</v>
          </cell>
          <cell r="AW44">
            <v>0</v>
          </cell>
        </row>
        <row r="45">
          <cell r="A45" t="str">
            <v>1515/0</v>
          </cell>
          <cell r="AV45">
            <v>0</v>
          </cell>
          <cell r="AW45">
            <v>0</v>
          </cell>
        </row>
        <row r="46">
          <cell r="A46" t="str">
            <v>1515/01</v>
          </cell>
          <cell r="AV46">
            <v>5168.5900000000011</v>
          </cell>
          <cell r="AW46">
            <v>0</v>
          </cell>
        </row>
        <row r="47">
          <cell r="A47" t="str">
            <v>1515/1</v>
          </cell>
          <cell r="AV47">
            <v>0</v>
          </cell>
          <cell r="AW47">
            <v>0</v>
          </cell>
        </row>
        <row r="48">
          <cell r="A48" t="str">
            <v>1515/11</v>
          </cell>
          <cell r="AV48">
            <v>1614.1900000000016</v>
          </cell>
          <cell r="AW48">
            <v>0</v>
          </cell>
        </row>
        <row r="49">
          <cell r="A49" t="str">
            <v>1516/0</v>
          </cell>
          <cell r="AV49">
            <v>0</v>
          </cell>
          <cell r="AW49">
            <v>0</v>
          </cell>
        </row>
        <row r="50">
          <cell r="A50" t="str">
            <v>1518/1</v>
          </cell>
          <cell r="AV50">
            <v>72.69</v>
          </cell>
          <cell r="AW50">
            <v>0</v>
          </cell>
        </row>
        <row r="51">
          <cell r="A51" t="str">
            <v>1518/11</v>
          </cell>
          <cell r="AV51">
            <v>47</v>
          </cell>
          <cell r="AW51">
            <v>0</v>
          </cell>
        </row>
        <row r="52">
          <cell r="A52" t="str">
            <v>1812/0</v>
          </cell>
          <cell r="AV52">
            <v>53588.9</v>
          </cell>
          <cell r="AW52">
            <v>0</v>
          </cell>
        </row>
        <row r="53">
          <cell r="A53" t="str">
            <v>1812/01</v>
          </cell>
          <cell r="AV53">
            <v>59282.220000000023</v>
          </cell>
          <cell r="AW53">
            <v>0</v>
          </cell>
        </row>
        <row r="54">
          <cell r="A54" t="str">
            <v>1812/1</v>
          </cell>
          <cell r="AV54">
            <v>0</v>
          </cell>
          <cell r="AW54">
            <v>0</v>
          </cell>
        </row>
        <row r="55">
          <cell r="A55" t="str">
            <v>1812/11</v>
          </cell>
          <cell r="AV55">
            <v>25686.999999999996</v>
          </cell>
          <cell r="AW55">
            <v>0</v>
          </cell>
        </row>
        <row r="56">
          <cell r="A56" t="str">
            <v>2113/01</v>
          </cell>
          <cell r="AV56">
            <v>0</v>
          </cell>
          <cell r="AW56">
            <v>-1.1641532182693481E-10</v>
          </cell>
        </row>
        <row r="57">
          <cell r="A57" t="str">
            <v>2113/02</v>
          </cell>
          <cell r="AV57">
            <v>0</v>
          </cell>
          <cell r="AW57">
            <v>-5.8207660913467407E-11</v>
          </cell>
        </row>
        <row r="58">
          <cell r="A58" t="str">
            <v>2113/3</v>
          </cell>
          <cell r="AV58">
            <v>71460.38999999997</v>
          </cell>
          <cell r="AW58">
            <v>0</v>
          </cell>
        </row>
        <row r="59">
          <cell r="A59" t="str">
            <v>2113/4</v>
          </cell>
          <cell r="AV59">
            <v>0</v>
          </cell>
          <cell r="AW59">
            <v>0</v>
          </cell>
        </row>
        <row r="60">
          <cell r="A60" t="str">
            <v>2113/с</v>
          </cell>
          <cell r="AV60">
            <v>0</v>
          </cell>
          <cell r="AW60">
            <v>0</v>
          </cell>
        </row>
        <row r="61">
          <cell r="A61">
            <v>2114</v>
          </cell>
          <cell r="AV61">
            <v>39664.319999999963</v>
          </cell>
          <cell r="AW61">
            <v>0</v>
          </cell>
        </row>
        <row r="62">
          <cell r="A62">
            <v>2115</v>
          </cell>
          <cell r="AV62">
            <v>0</v>
          </cell>
          <cell r="AW62">
            <v>0</v>
          </cell>
        </row>
        <row r="63">
          <cell r="A63">
            <v>2116</v>
          </cell>
          <cell r="AV63">
            <v>0</v>
          </cell>
          <cell r="AW63">
            <v>0</v>
          </cell>
        </row>
        <row r="64">
          <cell r="A64">
            <v>2117</v>
          </cell>
          <cell r="AV64">
            <v>0</v>
          </cell>
          <cell r="AW64">
            <v>0</v>
          </cell>
        </row>
        <row r="65">
          <cell r="A65">
            <v>2211</v>
          </cell>
          <cell r="AV65">
            <v>0</v>
          </cell>
          <cell r="AW65">
            <v>-3.637978807091713E-12</v>
          </cell>
        </row>
        <row r="66">
          <cell r="A66">
            <v>2213</v>
          </cell>
          <cell r="AV66">
            <v>8379.8300000000017</v>
          </cell>
          <cell r="AW66">
            <v>0</v>
          </cell>
        </row>
        <row r="67">
          <cell r="A67">
            <v>2311</v>
          </cell>
          <cell r="AV67">
            <v>0</v>
          </cell>
          <cell r="AW67">
            <v>0</v>
          </cell>
        </row>
        <row r="68">
          <cell r="A68" t="str">
            <v>2313/0</v>
          </cell>
          <cell r="AV68">
            <v>1037.2999999998137</v>
          </cell>
          <cell r="AW68">
            <v>0</v>
          </cell>
        </row>
        <row r="69">
          <cell r="A69" t="str">
            <v>2313/2</v>
          </cell>
          <cell r="AV69">
            <v>329884.77000000008</v>
          </cell>
          <cell r="AW69">
            <v>0</v>
          </cell>
        </row>
        <row r="70">
          <cell r="A70" t="str">
            <v>2313/3</v>
          </cell>
          <cell r="AV70">
            <v>4.4747139327228069E-10</v>
          </cell>
          <cell r="AW70">
            <v>0</v>
          </cell>
        </row>
        <row r="71">
          <cell r="A71">
            <v>2314</v>
          </cell>
          <cell r="AV71">
            <v>0</v>
          </cell>
          <cell r="AW71">
            <v>0</v>
          </cell>
        </row>
        <row r="72">
          <cell r="A72" t="str">
            <v>2711/0</v>
          </cell>
          <cell r="AV72">
            <v>1010389.3999999999</v>
          </cell>
          <cell r="AW72">
            <v>0</v>
          </cell>
        </row>
        <row r="73">
          <cell r="A73" t="str">
            <v>1511/1</v>
          </cell>
          <cell r="AV73">
            <v>56894.999999999985</v>
          </cell>
          <cell r="AW73">
            <v>0</v>
          </cell>
        </row>
        <row r="74">
          <cell r="A74">
            <v>2911</v>
          </cell>
          <cell r="AV74">
            <v>0</v>
          </cell>
          <cell r="AW74">
            <v>0</v>
          </cell>
        </row>
        <row r="75">
          <cell r="A75">
            <v>5111</v>
          </cell>
          <cell r="AV75">
            <v>0</v>
          </cell>
          <cell r="AW75">
            <v>-7245828.0199999996</v>
          </cell>
        </row>
        <row r="76">
          <cell r="A76">
            <v>5411</v>
          </cell>
          <cell r="AV76">
            <v>0</v>
          </cell>
          <cell r="AW76">
            <v>-201616.76000000004</v>
          </cell>
        </row>
        <row r="77">
          <cell r="A77" t="str">
            <v>5511/0</v>
          </cell>
          <cell r="AV77">
            <v>0</v>
          </cell>
          <cell r="AW77">
            <v>-118793.0599999968</v>
          </cell>
        </row>
        <row r="78">
          <cell r="A78">
            <v>5512</v>
          </cell>
          <cell r="AV78">
            <v>0</v>
          </cell>
          <cell r="AW78">
            <v>-90862.62000000001</v>
          </cell>
        </row>
        <row r="79">
          <cell r="A79" t="str">
            <v>5512/1</v>
          </cell>
          <cell r="AV79">
            <v>0</v>
          </cell>
          <cell r="AW79">
            <v>-1909540.1699999985</v>
          </cell>
        </row>
        <row r="80">
          <cell r="A80">
            <v>6211</v>
          </cell>
          <cell r="AV80">
            <v>0</v>
          </cell>
          <cell r="AW80">
            <v>0</v>
          </cell>
        </row>
        <row r="81">
          <cell r="A81">
            <v>6212</v>
          </cell>
          <cell r="AV81">
            <v>0</v>
          </cell>
          <cell r="AW81">
            <v>0</v>
          </cell>
        </row>
        <row r="82">
          <cell r="A82">
            <v>6311</v>
          </cell>
          <cell r="AV82">
            <v>0</v>
          </cell>
          <cell r="AW82">
            <v>-7139.5900000000838</v>
          </cell>
        </row>
        <row r="83">
          <cell r="A83">
            <v>6312</v>
          </cell>
          <cell r="AV83">
            <v>0</v>
          </cell>
          <cell r="AW83">
            <v>-594.96999999993568</v>
          </cell>
        </row>
        <row r="84">
          <cell r="A84">
            <v>6313</v>
          </cell>
          <cell r="AV84">
            <v>1.0000000707805157E-2</v>
          </cell>
          <cell r="AW84">
            <v>0</v>
          </cell>
        </row>
        <row r="85">
          <cell r="A85" t="str">
            <v>6313/А</v>
          </cell>
          <cell r="AV85">
            <v>6.9121597334742546E-10</v>
          </cell>
          <cell r="AW85">
            <v>0</v>
          </cell>
        </row>
        <row r="86">
          <cell r="A86">
            <v>6412</v>
          </cell>
          <cell r="AV86">
            <v>0</v>
          </cell>
          <cell r="AW86">
            <v>0</v>
          </cell>
        </row>
        <row r="87">
          <cell r="A87">
            <v>6414</v>
          </cell>
          <cell r="AV87">
            <v>0</v>
          </cell>
          <cell r="AW87">
            <v>0</v>
          </cell>
        </row>
        <row r="88">
          <cell r="A88">
            <v>6415</v>
          </cell>
          <cell r="AV88">
            <v>0</v>
          </cell>
          <cell r="AW88">
            <v>0</v>
          </cell>
        </row>
        <row r="89">
          <cell r="A89" t="str">
            <v>6416/А</v>
          </cell>
          <cell r="AV89">
            <v>0</v>
          </cell>
          <cell r="AW89">
            <v>0</v>
          </cell>
        </row>
        <row r="90">
          <cell r="A90">
            <v>6511</v>
          </cell>
          <cell r="AV90">
            <v>0</v>
          </cell>
          <cell r="AW90">
            <v>-31929.759999999776</v>
          </cell>
        </row>
        <row r="91">
          <cell r="A91">
            <v>6516</v>
          </cell>
          <cell r="AV91">
            <v>0</v>
          </cell>
          <cell r="AW91">
            <v>0</v>
          </cell>
        </row>
        <row r="92">
          <cell r="A92">
            <v>6518</v>
          </cell>
          <cell r="AV92">
            <v>0</v>
          </cell>
          <cell r="AW92">
            <v>0</v>
          </cell>
        </row>
        <row r="93">
          <cell r="A93" t="str">
            <v>6611/1</v>
          </cell>
          <cell r="AV93">
            <v>0</v>
          </cell>
          <cell r="AW93">
            <v>-15067245.139999999</v>
          </cell>
        </row>
        <row r="94">
          <cell r="A94" t="str">
            <v>6611/22</v>
          </cell>
          <cell r="AV94">
            <v>0</v>
          </cell>
          <cell r="AW94">
            <v>-10001.020000000006</v>
          </cell>
        </row>
        <row r="95">
          <cell r="A95" t="str">
            <v>6611/5</v>
          </cell>
          <cell r="AV95">
            <v>0</v>
          </cell>
          <cell r="AW95">
            <v>-511.24</v>
          </cell>
        </row>
        <row r="96">
          <cell r="A96" t="str">
            <v>6611/6</v>
          </cell>
          <cell r="AV96">
            <v>0</v>
          </cell>
          <cell r="AW96">
            <v>-207089.88000000006</v>
          </cell>
        </row>
        <row r="97">
          <cell r="A97" t="str">
            <v>6611/7</v>
          </cell>
          <cell r="AV97">
            <v>0</v>
          </cell>
          <cell r="AW97">
            <v>0</v>
          </cell>
        </row>
        <row r="98">
          <cell r="A98" t="str">
            <v>6611/8</v>
          </cell>
          <cell r="AV98">
            <v>0</v>
          </cell>
          <cell r="AW98">
            <v>0</v>
          </cell>
        </row>
        <row r="99">
          <cell r="A99" t="str">
            <v>6611/9</v>
          </cell>
          <cell r="AV99">
            <v>0</v>
          </cell>
          <cell r="AW99">
            <v>0</v>
          </cell>
        </row>
        <row r="100">
          <cell r="A100">
            <v>7011</v>
          </cell>
          <cell r="AV100">
            <v>0</v>
          </cell>
          <cell r="AW100">
            <v>0</v>
          </cell>
        </row>
        <row r="101">
          <cell r="A101" t="str">
            <v>7011/1с</v>
          </cell>
          <cell r="AV101">
            <v>0</v>
          </cell>
          <cell r="AW101">
            <v>0</v>
          </cell>
        </row>
        <row r="102">
          <cell r="A102">
            <v>7111</v>
          </cell>
          <cell r="AV102">
            <v>0</v>
          </cell>
          <cell r="AW102">
            <v>0</v>
          </cell>
        </row>
        <row r="103">
          <cell r="A103">
            <v>7112</v>
          </cell>
          <cell r="AV103">
            <v>0</v>
          </cell>
          <cell r="AW103">
            <v>0</v>
          </cell>
        </row>
        <row r="104">
          <cell r="A104">
            <v>7511</v>
          </cell>
          <cell r="AV104">
            <v>0</v>
          </cell>
          <cell r="AW104">
            <v>0</v>
          </cell>
        </row>
        <row r="105">
          <cell r="A105" t="str">
            <v>7511/1</v>
          </cell>
          <cell r="AV105">
            <v>0</v>
          </cell>
          <cell r="AW105">
            <v>0</v>
          </cell>
        </row>
        <row r="106">
          <cell r="A106">
            <v>8011</v>
          </cell>
          <cell r="AV106">
            <v>0</v>
          </cell>
          <cell r="AW106">
            <v>0</v>
          </cell>
        </row>
        <row r="107">
          <cell r="A107">
            <v>8012</v>
          </cell>
          <cell r="AV107">
            <v>0</v>
          </cell>
          <cell r="AW107">
            <v>0</v>
          </cell>
        </row>
        <row r="108">
          <cell r="A108" t="str">
            <v>8012/2</v>
          </cell>
          <cell r="AV108">
            <v>0</v>
          </cell>
          <cell r="AW108">
            <v>0</v>
          </cell>
        </row>
        <row r="109">
          <cell r="A109" t="str">
            <v>8013/0</v>
          </cell>
          <cell r="AV109">
            <v>0</v>
          </cell>
          <cell r="AW109">
            <v>0</v>
          </cell>
        </row>
        <row r="110">
          <cell r="A110" t="str">
            <v>8013с</v>
          </cell>
          <cell r="AV110">
            <v>0</v>
          </cell>
          <cell r="AW110">
            <v>0</v>
          </cell>
        </row>
        <row r="111">
          <cell r="A111" t="str">
            <v>8014/0</v>
          </cell>
          <cell r="AV111">
            <v>0</v>
          </cell>
          <cell r="AW111">
            <v>0</v>
          </cell>
        </row>
        <row r="112">
          <cell r="A112" t="str">
            <v>8014/1</v>
          </cell>
          <cell r="AV112">
            <v>0</v>
          </cell>
          <cell r="AW112">
            <v>0</v>
          </cell>
        </row>
        <row r="113">
          <cell r="A113" t="str">
            <v>8113/1</v>
          </cell>
          <cell r="AV113">
            <v>0</v>
          </cell>
          <cell r="AW113">
            <v>0</v>
          </cell>
        </row>
        <row r="114">
          <cell r="A114">
            <v>8311</v>
          </cell>
          <cell r="AV114">
            <v>0</v>
          </cell>
          <cell r="AW114">
            <v>0</v>
          </cell>
        </row>
        <row r="115">
          <cell r="A115">
            <v>8411</v>
          </cell>
          <cell r="AV115">
            <v>0</v>
          </cell>
          <cell r="AW115">
            <v>0</v>
          </cell>
        </row>
        <row r="116">
          <cell r="A116">
            <v>8511</v>
          </cell>
          <cell r="AV116">
            <v>0</v>
          </cell>
          <cell r="AW116">
            <v>0</v>
          </cell>
        </row>
        <row r="117">
          <cell r="A117" t="str">
            <v>8511/1</v>
          </cell>
          <cell r="AV117">
            <v>0</v>
          </cell>
          <cell r="AW117">
            <v>0</v>
          </cell>
        </row>
        <row r="118">
          <cell r="A118" t="str">
            <v>8511/2</v>
          </cell>
          <cell r="AV118">
            <v>0</v>
          </cell>
          <cell r="AW118">
            <v>0</v>
          </cell>
        </row>
        <row r="119">
          <cell r="A119" t="str">
            <v>8511/22</v>
          </cell>
          <cell r="AV119">
            <v>0</v>
          </cell>
          <cell r="AW119">
            <v>0</v>
          </cell>
        </row>
        <row r="120">
          <cell r="A120" t="str">
            <v>8511/24</v>
          </cell>
          <cell r="AV120">
            <v>0</v>
          </cell>
          <cell r="AW120">
            <v>0</v>
          </cell>
        </row>
        <row r="121">
          <cell r="A121" t="str">
            <v>8511/25</v>
          </cell>
          <cell r="AV121">
            <v>0</v>
          </cell>
          <cell r="AW121">
            <v>0</v>
          </cell>
        </row>
        <row r="122">
          <cell r="A122" t="str">
            <v>8511/3</v>
          </cell>
          <cell r="AV122">
            <v>0</v>
          </cell>
          <cell r="AW122">
            <v>0</v>
          </cell>
        </row>
        <row r="123">
          <cell r="AV123">
            <v>34569305.740000002</v>
          </cell>
          <cell r="AW123">
            <v>-34569305.74000001</v>
          </cell>
        </row>
        <row r="125">
          <cell r="AW125">
            <v>-24891152.230000012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№ мемор. ордера</v>
          </cell>
          <cell r="AR1" t="str">
            <v>17 закриття</v>
          </cell>
        </row>
        <row r="2">
          <cell r="A2" t="str">
            <v>№ сч.</v>
          </cell>
          <cell r="AR2" t="str">
            <v>Д</v>
          </cell>
        </row>
        <row r="3">
          <cell r="A3">
            <v>103</v>
          </cell>
          <cell r="AV3">
            <v>2371073.7999999998</v>
          </cell>
          <cell r="AW3">
            <v>0</v>
          </cell>
        </row>
        <row r="4">
          <cell r="A4">
            <v>104</v>
          </cell>
          <cell r="AV4">
            <v>10831164.100000003</v>
          </cell>
          <cell r="AW4">
            <v>0</v>
          </cell>
        </row>
        <row r="5">
          <cell r="A5">
            <v>105</v>
          </cell>
          <cell r="AV5">
            <v>163376</v>
          </cell>
          <cell r="AW5">
            <v>0</v>
          </cell>
        </row>
        <row r="6">
          <cell r="A6">
            <v>106</v>
          </cell>
          <cell r="AV6">
            <v>565193</v>
          </cell>
          <cell r="AW6">
            <v>0</v>
          </cell>
        </row>
        <row r="7">
          <cell r="A7">
            <v>107</v>
          </cell>
          <cell r="AV7">
            <v>7131</v>
          </cell>
          <cell r="AW7">
            <v>0</v>
          </cell>
        </row>
        <row r="8">
          <cell r="A8">
            <v>131</v>
          </cell>
          <cell r="AV8">
            <v>0</v>
          </cell>
          <cell r="AW8">
            <v>-9090540.3999999985</v>
          </cell>
        </row>
        <row r="9">
          <cell r="A9">
            <v>132</v>
          </cell>
          <cell r="AV9">
            <v>0</v>
          </cell>
          <cell r="AW9">
            <v>-775640.89999999991</v>
          </cell>
        </row>
        <row r="10">
          <cell r="A10" t="str">
            <v>201/2</v>
          </cell>
          <cell r="AV10">
            <v>208744.50999999989</v>
          </cell>
          <cell r="AW10">
            <v>0</v>
          </cell>
        </row>
        <row r="11">
          <cell r="A11" t="str">
            <v>112/01</v>
          </cell>
          <cell r="AV11">
            <v>1093134.6400000001</v>
          </cell>
          <cell r="AW11">
            <v>0</v>
          </cell>
        </row>
        <row r="12">
          <cell r="A12" t="str">
            <v>112/1</v>
          </cell>
          <cell r="AV12">
            <v>0</v>
          </cell>
          <cell r="AW12">
            <v>0</v>
          </cell>
        </row>
        <row r="13">
          <cell r="A13" t="str">
            <v>112/11</v>
          </cell>
          <cell r="AV13">
            <v>231777.16999999998</v>
          </cell>
          <cell r="AW13">
            <v>0</v>
          </cell>
        </row>
        <row r="14">
          <cell r="A14" t="str">
            <v>117/01</v>
          </cell>
          <cell r="AV14">
            <v>217533.98</v>
          </cell>
          <cell r="AW14">
            <v>0</v>
          </cell>
        </row>
        <row r="15">
          <cell r="A15" t="str">
            <v>117/11</v>
          </cell>
          <cell r="AV15">
            <v>8836</v>
          </cell>
          <cell r="AW15">
            <v>0</v>
          </cell>
        </row>
        <row r="16">
          <cell r="A16">
            <v>152</v>
          </cell>
          <cell r="AV16">
            <v>38655.380000000005</v>
          </cell>
          <cell r="AW16">
            <v>0</v>
          </cell>
        </row>
        <row r="17">
          <cell r="A17" t="str">
            <v>153/0</v>
          </cell>
          <cell r="AV17">
            <v>154</v>
          </cell>
          <cell r="AW17">
            <v>0</v>
          </cell>
        </row>
        <row r="18">
          <cell r="A18" t="str">
            <v>153/1</v>
          </cell>
          <cell r="AV18">
            <v>77564.800000000003</v>
          </cell>
          <cell r="AW18">
            <v>0</v>
          </cell>
        </row>
        <row r="19">
          <cell r="A19" t="str">
            <v>201/0</v>
          </cell>
          <cell r="AV19">
            <v>88626.410000000076</v>
          </cell>
          <cell r="AW19">
            <v>0</v>
          </cell>
        </row>
        <row r="20">
          <cell r="A20" t="str">
            <v>201/01</v>
          </cell>
          <cell r="AV20">
            <v>484206.72999999957</v>
          </cell>
          <cell r="AW20">
            <v>0</v>
          </cell>
        </row>
        <row r="21">
          <cell r="A21" t="str">
            <v>201/1</v>
          </cell>
          <cell r="AV21">
            <v>16533678.450000007</v>
          </cell>
          <cell r="AW21">
            <v>0</v>
          </cell>
        </row>
        <row r="22">
          <cell r="A22" t="str">
            <v>201/10</v>
          </cell>
          <cell r="AV22">
            <v>110486.09000000001</v>
          </cell>
          <cell r="AW22">
            <v>0</v>
          </cell>
        </row>
        <row r="23">
          <cell r="A23" t="str">
            <v>201/11</v>
          </cell>
          <cell r="AV23">
            <v>13610.829999999996</v>
          </cell>
          <cell r="AW23">
            <v>0</v>
          </cell>
        </row>
        <row r="24">
          <cell r="A24" t="str">
            <v>201/12</v>
          </cell>
          <cell r="AV24">
            <v>0</v>
          </cell>
          <cell r="AW24">
            <v>0</v>
          </cell>
        </row>
        <row r="25">
          <cell r="A25" t="str">
            <v>201/14</v>
          </cell>
          <cell r="AV25">
            <v>501245.86000000039</v>
          </cell>
          <cell r="AW25">
            <v>0</v>
          </cell>
        </row>
        <row r="26">
          <cell r="A26" t="str">
            <v>201/15</v>
          </cell>
          <cell r="AV26">
            <v>15753.279999999999</v>
          </cell>
          <cell r="AW26">
            <v>0</v>
          </cell>
        </row>
        <row r="27">
          <cell r="A27" t="str">
            <v>201/21</v>
          </cell>
          <cell r="AV27">
            <v>681319.15000000072</v>
          </cell>
          <cell r="AW27">
            <v>0</v>
          </cell>
        </row>
        <row r="28">
          <cell r="A28" t="str">
            <v>201/22</v>
          </cell>
          <cell r="AV28">
            <v>24189.56000000003</v>
          </cell>
          <cell r="AW28">
            <v>0</v>
          </cell>
        </row>
        <row r="29">
          <cell r="A29" t="str">
            <v>201/23</v>
          </cell>
          <cell r="AV29">
            <v>0</v>
          </cell>
          <cell r="AW29">
            <v>0</v>
          </cell>
        </row>
        <row r="30">
          <cell r="A30" t="str">
            <v>201/24</v>
          </cell>
          <cell r="AV30">
            <v>292637.3199999989</v>
          </cell>
          <cell r="AW30">
            <v>0</v>
          </cell>
        </row>
        <row r="31">
          <cell r="A31" t="str">
            <v>201/241</v>
          </cell>
          <cell r="AV31">
            <v>36091.590000000004</v>
          </cell>
          <cell r="AW31">
            <v>0</v>
          </cell>
        </row>
        <row r="32">
          <cell r="A32" t="str">
            <v>201/25</v>
          </cell>
          <cell r="AV32">
            <v>30608.569999999894</v>
          </cell>
          <cell r="AW32">
            <v>0</v>
          </cell>
        </row>
        <row r="33">
          <cell r="A33" t="str">
            <v>201/3</v>
          </cell>
          <cell r="AV33">
            <v>670385.93999999994</v>
          </cell>
          <cell r="AW33">
            <v>0</v>
          </cell>
        </row>
        <row r="34">
          <cell r="A34" t="str">
            <v>201/5</v>
          </cell>
          <cell r="AV34">
            <v>328.28000000000003</v>
          </cell>
          <cell r="AW34">
            <v>0</v>
          </cell>
        </row>
        <row r="35">
          <cell r="A35" t="str">
            <v>201/6</v>
          </cell>
          <cell r="AV35">
            <v>250642.28000000006</v>
          </cell>
          <cell r="AW35">
            <v>0</v>
          </cell>
        </row>
        <row r="36">
          <cell r="A36" t="str">
            <v>201/7</v>
          </cell>
          <cell r="AV36">
            <v>0</v>
          </cell>
          <cell r="AW36">
            <v>0</v>
          </cell>
        </row>
        <row r="37">
          <cell r="A37" t="str">
            <v>201/812</v>
          </cell>
          <cell r="AV37">
            <v>215.38000000000301</v>
          </cell>
          <cell r="AW37">
            <v>0</v>
          </cell>
        </row>
        <row r="38">
          <cell r="A38" t="str">
            <v>201/242</v>
          </cell>
          <cell r="AV38">
            <v>5385.0999999999931</v>
          </cell>
          <cell r="AW38">
            <v>0</v>
          </cell>
        </row>
        <row r="39">
          <cell r="A39" t="str">
            <v>205/0</v>
          </cell>
          <cell r="AV39">
            <v>0</v>
          </cell>
          <cell r="AW39">
            <v>0</v>
          </cell>
        </row>
        <row r="40">
          <cell r="A40" t="str">
            <v>205/01</v>
          </cell>
          <cell r="AV40">
            <v>39171.230000000003</v>
          </cell>
          <cell r="AW40">
            <v>0</v>
          </cell>
        </row>
        <row r="41">
          <cell r="A41" t="str">
            <v>205/1</v>
          </cell>
          <cell r="AV41">
            <v>0</v>
          </cell>
          <cell r="AW41">
            <v>0</v>
          </cell>
        </row>
        <row r="42">
          <cell r="A42" t="str">
            <v>205/11</v>
          </cell>
          <cell r="AV42">
            <v>464.99999999999955</v>
          </cell>
          <cell r="AW42">
            <v>0</v>
          </cell>
        </row>
        <row r="43">
          <cell r="A43" t="str">
            <v>203/0</v>
          </cell>
          <cell r="AV43">
            <v>12760.179999999993</v>
          </cell>
          <cell r="AW43">
            <v>0</v>
          </cell>
        </row>
        <row r="44">
          <cell r="A44" t="str">
            <v>203/01</v>
          </cell>
          <cell r="AV44">
            <v>2351.87</v>
          </cell>
          <cell r="AW44">
            <v>0</v>
          </cell>
        </row>
        <row r="45">
          <cell r="A45" t="str">
            <v>207/0</v>
          </cell>
          <cell r="AV45">
            <v>0</v>
          </cell>
          <cell r="AW45">
            <v>0</v>
          </cell>
        </row>
        <row r="46">
          <cell r="A46" t="str">
            <v>207/01</v>
          </cell>
          <cell r="AV46">
            <v>4238.5900000000011</v>
          </cell>
          <cell r="AW46">
            <v>0</v>
          </cell>
        </row>
        <row r="47">
          <cell r="A47" t="str">
            <v>207/1</v>
          </cell>
          <cell r="AV47">
            <v>0</v>
          </cell>
          <cell r="AW47">
            <v>0</v>
          </cell>
        </row>
        <row r="48">
          <cell r="A48" t="str">
            <v>207/11</v>
          </cell>
          <cell r="AV48">
            <v>13218.190000000002</v>
          </cell>
          <cell r="AW48">
            <v>0</v>
          </cell>
        </row>
        <row r="49">
          <cell r="A49">
            <v>204</v>
          </cell>
          <cell r="AV49">
            <v>0</v>
          </cell>
          <cell r="AW49">
            <v>0</v>
          </cell>
        </row>
        <row r="50">
          <cell r="A50" t="str">
            <v>209/1</v>
          </cell>
          <cell r="AV50">
            <v>0</v>
          </cell>
          <cell r="AW50">
            <v>0</v>
          </cell>
        </row>
        <row r="51">
          <cell r="A51" t="str">
            <v>209/11</v>
          </cell>
          <cell r="AV51">
            <v>98.69</v>
          </cell>
          <cell r="AW51">
            <v>0</v>
          </cell>
        </row>
        <row r="52">
          <cell r="A52" t="str">
            <v>221/0</v>
          </cell>
          <cell r="AV52">
            <v>15652.84</v>
          </cell>
          <cell r="AW52">
            <v>0</v>
          </cell>
        </row>
        <row r="53">
          <cell r="A53" t="str">
            <v>221/01</v>
          </cell>
          <cell r="AV53">
            <v>95848.910000000033</v>
          </cell>
          <cell r="AW53">
            <v>0</v>
          </cell>
        </row>
        <row r="54">
          <cell r="A54" t="str">
            <v>221/1</v>
          </cell>
          <cell r="AV54">
            <v>22500</v>
          </cell>
          <cell r="AW54">
            <v>0</v>
          </cell>
        </row>
        <row r="55">
          <cell r="A55" t="str">
            <v>221/11</v>
          </cell>
          <cell r="AV55">
            <v>28186.999999999996</v>
          </cell>
          <cell r="AW55">
            <v>0</v>
          </cell>
        </row>
        <row r="56">
          <cell r="A56" t="str">
            <v>631/01</v>
          </cell>
          <cell r="AV56">
            <v>0</v>
          </cell>
          <cell r="AW56">
            <v>-1.4551915228366852E-10</v>
          </cell>
        </row>
        <row r="57">
          <cell r="A57" t="str">
            <v>631/02</v>
          </cell>
          <cell r="AV57">
            <v>0</v>
          </cell>
          <cell r="AW57">
            <v>-5.8207660913467407E-11</v>
          </cell>
        </row>
        <row r="58">
          <cell r="A58" t="str">
            <v>311/2</v>
          </cell>
          <cell r="AV58">
            <v>38863.88999999997</v>
          </cell>
          <cell r="AW58">
            <v>0</v>
          </cell>
        </row>
        <row r="59">
          <cell r="A59" t="str">
            <v>311сп</v>
          </cell>
          <cell r="AV59">
            <v>16.390000000000043</v>
          </cell>
          <cell r="AW59">
            <v>0</v>
          </cell>
        </row>
        <row r="60">
          <cell r="A60" t="str">
            <v>311/1п</v>
          </cell>
          <cell r="AV60">
            <v>136.61000000000013</v>
          </cell>
          <cell r="AW60">
            <v>0</v>
          </cell>
        </row>
        <row r="61">
          <cell r="A61">
            <v>378</v>
          </cell>
          <cell r="AV61">
            <v>44332.189999999959</v>
          </cell>
          <cell r="AW61">
            <v>0</v>
          </cell>
        </row>
        <row r="62">
          <cell r="A62">
            <v>375</v>
          </cell>
          <cell r="AV62">
            <v>0</v>
          </cell>
          <cell r="AW62">
            <v>0</v>
          </cell>
        </row>
        <row r="63">
          <cell r="A63">
            <v>372</v>
          </cell>
          <cell r="AV63">
            <v>0</v>
          </cell>
          <cell r="AW63">
            <v>0</v>
          </cell>
        </row>
        <row r="64">
          <cell r="A64" t="str">
            <v>377/0</v>
          </cell>
          <cell r="AV64">
            <v>0</v>
          </cell>
          <cell r="AW64">
            <v>0</v>
          </cell>
        </row>
        <row r="65">
          <cell r="A65">
            <v>301</v>
          </cell>
          <cell r="AV65">
            <v>0</v>
          </cell>
          <cell r="AW65">
            <v>-3.637978807091713E-12</v>
          </cell>
        </row>
        <row r="66">
          <cell r="A66">
            <v>331</v>
          </cell>
          <cell r="AV66">
            <v>8379.8300000000017</v>
          </cell>
          <cell r="AW66">
            <v>0</v>
          </cell>
        </row>
        <row r="67">
          <cell r="A67">
            <v>352</v>
          </cell>
          <cell r="AV67">
            <v>79442.62</v>
          </cell>
          <cell r="AW67">
            <v>0</v>
          </cell>
        </row>
        <row r="68">
          <cell r="A68" t="str">
            <v>352/1</v>
          </cell>
          <cell r="AV68">
            <v>996434.41999999993</v>
          </cell>
          <cell r="AW68">
            <v>0</v>
          </cell>
        </row>
        <row r="69">
          <cell r="A69">
            <v>311</v>
          </cell>
          <cell r="AV69">
            <v>953723.36999999965</v>
          </cell>
          <cell r="AW69">
            <v>0</v>
          </cell>
        </row>
        <row r="70">
          <cell r="A70" t="str">
            <v>315/1</v>
          </cell>
          <cell r="AV70">
            <v>0</v>
          </cell>
          <cell r="AW70">
            <v>0</v>
          </cell>
        </row>
        <row r="71">
          <cell r="A71" t="str">
            <v>377/1</v>
          </cell>
          <cell r="AV71">
            <v>0</v>
          </cell>
          <cell r="AW71">
            <v>0</v>
          </cell>
        </row>
        <row r="72">
          <cell r="A72" t="str">
            <v>201/17</v>
          </cell>
          <cell r="AV72">
            <v>8265.2399999999852</v>
          </cell>
          <cell r="AW72">
            <v>0</v>
          </cell>
        </row>
        <row r="73">
          <cell r="A73">
            <v>719</v>
          </cell>
          <cell r="AR73">
            <v>1572926.72</v>
          </cell>
          <cell r="AV73">
            <v>0</v>
          </cell>
          <cell r="AW73">
            <v>0</v>
          </cell>
        </row>
        <row r="74">
          <cell r="A74">
            <v>401</v>
          </cell>
          <cell r="AR74">
            <v>1572926.72</v>
          </cell>
          <cell r="AV74">
            <v>0</v>
          </cell>
          <cell r="AW74">
            <v>-5512659.5099999998</v>
          </cell>
        </row>
        <row r="75">
          <cell r="A75" t="str">
            <v>483/2</v>
          </cell>
          <cell r="AV75">
            <v>0</v>
          </cell>
          <cell r="AW75">
            <v>-22500</v>
          </cell>
        </row>
        <row r="76">
          <cell r="A76" t="str">
            <v>483/1</v>
          </cell>
          <cell r="AV76">
            <v>0</v>
          </cell>
          <cell r="AW76">
            <v>-4305</v>
          </cell>
        </row>
        <row r="77">
          <cell r="A77" t="str">
            <v>483/0</v>
          </cell>
          <cell r="AV77">
            <v>0</v>
          </cell>
          <cell r="AW77">
            <v>-1750049.4600000002</v>
          </cell>
        </row>
        <row r="78">
          <cell r="A78">
            <v>482</v>
          </cell>
          <cell r="AV78">
            <v>0</v>
          </cell>
          <cell r="AW78">
            <v>-13330</v>
          </cell>
        </row>
        <row r="79">
          <cell r="A79">
            <v>791</v>
          </cell>
          <cell r="AR79">
            <v>18384036.93</v>
          </cell>
          <cell r="AV79">
            <v>3.7252902984619141E-9</v>
          </cell>
          <cell r="AW79">
            <v>0</v>
          </cell>
        </row>
        <row r="80">
          <cell r="A80">
            <v>441</v>
          </cell>
          <cell r="AV80">
            <v>0</v>
          </cell>
          <cell r="AW80">
            <v>-5360928.7799999993</v>
          </cell>
        </row>
        <row r="81">
          <cell r="A81">
            <v>631</v>
          </cell>
          <cell r="AV81">
            <v>0</v>
          </cell>
          <cell r="AW81">
            <v>0</v>
          </cell>
        </row>
        <row r="82">
          <cell r="A82">
            <v>685</v>
          </cell>
          <cell r="AV82">
            <v>0</v>
          </cell>
          <cell r="AW82">
            <v>0</v>
          </cell>
        </row>
        <row r="83">
          <cell r="A83">
            <v>641</v>
          </cell>
          <cell r="AV83">
            <v>0</v>
          </cell>
          <cell r="AW83">
            <v>-7979.7900000002119</v>
          </cell>
        </row>
        <row r="84">
          <cell r="A84">
            <v>642</v>
          </cell>
          <cell r="AV84">
            <v>0</v>
          </cell>
          <cell r="AW84">
            <v>-664.96999999993568</v>
          </cell>
        </row>
        <row r="85">
          <cell r="A85">
            <v>651</v>
          </cell>
          <cell r="AV85">
            <v>8.149072527885437E-10</v>
          </cell>
          <cell r="AW85">
            <v>0</v>
          </cell>
        </row>
        <row r="86">
          <cell r="A86" t="str">
            <v>651А</v>
          </cell>
          <cell r="AV86">
            <v>6.8394001573324203E-10</v>
          </cell>
          <cell r="AW86">
            <v>0</v>
          </cell>
        </row>
        <row r="87">
          <cell r="A87">
            <v>662</v>
          </cell>
          <cell r="AV87">
            <v>0</v>
          </cell>
          <cell r="AW87">
            <v>0</v>
          </cell>
        </row>
        <row r="88">
          <cell r="A88">
            <v>661</v>
          </cell>
          <cell r="AV88">
            <v>0</v>
          </cell>
          <cell r="AW88">
            <v>-9.3132257461547852E-10</v>
          </cell>
        </row>
        <row r="89">
          <cell r="A89" t="str">
            <v>685/2</v>
          </cell>
          <cell r="AV89">
            <v>0</v>
          </cell>
          <cell r="AW89">
            <v>0</v>
          </cell>
        </row>
        <row r="90">
          <cell r="A90" t="str">
            <v>685/3</v>
          </cell>
          <cell r="AV90">
            <v>0</v>
          </cell>
          <cell r="AW90">
            <v>0</v>
          </cell>
        </row>
        <row r="91">
          <cell r="A91" t="str">
            <v>484/0</v>
          </cell>
          <cell r="AV91">
            <v>0</v>
          </cell>
          <cell r="AW91">
            <v>-17460818.830000002</v>
          </cell>
        </row>
        <row r="92">
          <cell r="A92" t="str">
            <v>482/0</v>
          </cell>
          <cell r="AR92">
            <v>8924228.9600000009</v>
          </cell>
          <cell r="AV92">
            <v>0</v>
          </cell>
          <cell r="AW92">
            <v>0</v>
          </cell>
        </row>
        <row r="93">
          <cell r="A93">
            <v>442</v>
          </cell>
          <cell r="AV93">
            <v>0</v>
          </cell>
          <cell r="AW93">
            <v>0</v>
          </cell>
        </row>
        <row r="94">
          <cell r="A94">
            <v>719</v>
          </cell>
          <cell r="AV94">
            <v>0</v>
          </cell>
          <cell r="AW94">
            <v>0</v>
          </cell>
        </row>
        <row r="95">
          <cell r="A95">
            <v>718</v>
          </cell>
          <cell r="AR95">
            <v>14104</v>
          </cell>
          <cell r="AV95">
            <v>0</v>
          </cell>
          <cell r="AW95">
            <v>0</v>
          </cell>
        </row>
        <row r="96">
          <cell r="A96" t="str">
            <v>718/0</v>
          </cell>
          <cell r="AR96">
            <v>3131947.9</v>
          </cell>
          <cell r="AV96">
            <v>0</v>
          </cell>
          <cell r="AW96">
            <v>0</v>
          </cell>
        </row>
        <row r="97">
          <cell r="A97">
            <v>910</v>
          </cell>
          <cell r="AV97">
            <v>0</v>
          </cell>
          <cell r="AW97">
            <v>0</v>
          </cell>
        </row>
        <row r="98">
          <cell r="A98">
            <v>930</v>
          </cell>
          <cell r="AV98">
            <v>0</v>
          </cell>
          <cell r="AW98">
            <v>0</v>
          </cell>
        </row>
        <row r="99">
          <cell r="A99">
            <v>940</v>
          </cell>
          <cell r="AV99">
            <v>0</v>
          </cell>
          <cell r="AW99">
            <v>0</v>
          </cell>
        </row>
        <row r="100">
          <cell r="A100">
            <v>230</v>
          </cell>
          <cell r="AV100">
            <v>0</v>
          </cell>
          <cell r="AW100">
            <v>0</v>
          </cell>
        </row>
        <row r="101">
          <cell r="A101" t="str">
            <v>920/0</v>
          </cell>
          <cell r="AV101">
            <v>0</v>
          </cell>
          <cell r="AW101">
            <v>0</v>
          </cell>
        </row>
        <row r="102">
          <cell r="A102" t="str">
            <v>920/1</v>
          </cell>
          <cell r="AV102">
            <v>0</v>
          </cell>
          <cell r="AW102">
            <v>0</v>
          </cell>
        </row>
        <row r="103">
          <cell r="A103">
            <v>948</v>
          </cell>
          <cell r="AV103">
            <v>0</v>
          </cell>
          <cell r="AW103">
            <v>0</v>
          </cell>
        </row>
        <row r="104">
          <cell r="A104" t="str">
            <v>230/0</v>
          </cell>
          <cell r="AV104">
            <v>0</v>
          </cell>
          <cell r="AW104">
            <v>0</v>
          </cell>
        </row>
        <row r="105">
          <cell r="A105">
            <v>425</v>
          </cell>
          <cell r="AV105">
            <v>0</v>
          </cell>
          <cell r="AW105">
            <v>0</v>
          </cell>
        </row>
        <row r="106">
          <cell r="A106" t="str">
            <v>203/11</v>
          </cell>
          <cell r="AV106">
            <v>0</v>
          </cell>
          <cell r="AW106">
            <v>0</v>
          </cell>
        </row>
        <row r="107">
          <cell r="A107">
            <v>631</v>
          </cell>
          <cell r="AV107">
            <v>0</v>
          </cell>
          <cell r="AW107">
            <v>0</v>
          </cell>
        </row>
        <row r="108">
          <cell r="A108" t="str">
            <v>377/1</v>
          </cell>
          <cell r="AV108">
            <v>0</v>
          </cell>
          <cell r="AW108">
            <v>0</v>
          </cell>
        </row>
        <row r="109">
          <cell r="A109" t="str">
            <v>201/20</v>
          </cell>
          <cell r="AV109">
            <v>0</v>
          </cell>
          <cell r="AW109">
            <v>0</v>
          </cell>
        </row>
        <row r="110">
          <cell r="A110" t="str">
            <v>377/15</v>
          </cell>
          <cell r="AV110">
            <v>0</v>
          </cell>
          <cell r="AW110">
            <v>0</v>
          </cell>
        </row>
        <row r="111">
          <cell r="A111" t="str">
            <v>201/13</v>
          </cell>
          <cell r="AV111">
            <v>47036.36</v>
          </cell>
          <cell r="AW111">
            <v>0</v>
          </cell>
        </row>
        <row r="112">
          <cell r="A112" t="str">
            <v>201/16</v>
          </cell>
          <cell r="AV112">
            <v>0</v>
          </cell>
          <cell r="AW112">
            <v>0</v>
          </cell>
        </row>
        <row r="113">
          <cell r="A113" t="str">
            <v>361/1</v>
          </cell>
          <cell r="AV113">
            <v>0</v>
          </cell>
          <cell r="AW113">
            <v>0</v>
          </cell>
        </row>
        <row r="114">
          <cell r="A114" t="str">
            <v>201/4</v>
          </cell>
          <cell r="AV114">
            <v>0</v>
          </cell>
          <cell r="AW114">
            <v>0</v>
          </cell>
        </row>
        <row r="115">
          <cell r="A115" t="str">
            <v>201/8</v>
          </cell>
          <cell r="AV115">
            <v>110316.54999999999</v>
          </cell>
          <cell r="AW115">
            <v>0</v>
          </cell>
        </row>
        <row r="116">
          <cell r="A116" t="str">
            <v>201/9</v>
          </cell>
          <cell r="AV116">
            <v>11250</v>
          </cell>
          <cell r="AW116">
            <v>0</v>
          </cell>
        </row>
        <row r="117">
          <cell r="A117" t="str">
            <v>377/21</v>
          </cell>
          <cell r="AV117">
            <v>0</v>
          </cell>
          <cell r="AW117">
            <v>0</v>
          </cell>
        </row>
        <row r="118">
          <cell r="A118" t="str">
            <v>683/22</v>
          </cell>
          <cell r="AV118">
            <v>0</v>
          </cell>
          <cell r="AW118">
            <v>0</v>
          </cell>
        </row>
        <row r="119">
          <cell r="A119" t="str">
            <v>377/24</v>
          </cell>
          <cell r="AV119">
            <v>0</v>
          </cell>
          <cell r="AW119">
            <v>0</v>
          </cell>
        </row>
        <row r="120">
          <cell r="A120" t="str">
            <v>377/25</v>
          </cell>
          <cell r="AV120">
            <v>0</v>
          </cell>
          <cell r="AW120">
            <v>0</v>
          </cell>
        </row>
        <row r="121">
          <cell r="A121" t="str">
            <v>377/241</v>
          </cell>
          <cell r="AV121">
            <v>0</v>
          </cell>
          <cell r="AW121">
            <v>0</v>
          </cell>
        </row>
        <row r="122">
          <cell r="A122" t="str">
            <v>377/242</v>
          </cell>
          <cell r="AV122">
            <v>0</v>
          </cell>
          <cell r="AW122">
            <v>0</v>
          </cell>
        </row>
        <row r="123">
          <cell r="A123">
            <v>37714</v>
          </cell>
          <cell r="AV123">
            <v>0</v>
          </cell>
          <cell r="AW123">
            <v>0</v>
          </cell>
        </row>
        <row r="124">
          <cell r="A124" t="str">
            <v>644/1</v>
          </cell>
          <cell r="AV124">
            <v>29915.33</v>
          </cell>
          <cell r="AW124">
            <v>0</v>
          </cell>
        </row>
        <row r="125">
          <cell r="A125" t="str">
            <v>641/7</v>
          </cell>
          <cell r="AV125">
            <v>0</v>
          </cell>
          <cell r="AW125">
            <v>0</v>
          </cell>
        </row>
        <row r="126">
          <cell r="A126" t="str">
            <v>643/1</v>
          </cell>
          <cell r="AV126">
            <v>0</v>
          </cell>
          <cell r="AW126">
            <v>0</v>
          </cell>
        </row>
        <row r="127">
          <cell r="A127" t="str">
            <v>949/0</v>
          </cell>
          <cell r="AV127">
            <v>0</v>
          </cell>
          <cell r="AW127">
            <v>0</v>
          </cell>
        </row>
        <row r="128">
          <cell r="A128" t="str">
            <v>311/1</v>
          </cell>
          <cell r="AV128">
            <v>2121499.13</v>
          </cell>
          <cell r="AW128">
            <v>0</v>
          </cell>
        </row>
        <row r="129">
          <cell r="A129" t="str">
            <v>483/1я</v>
          </cell>
          <cell r="AR129">
            <v>22975</v>
          </cell>
          <cell r="AV129">
            <v>0</v>
          </cell>
          <cell r="AW129">
            <v>0</v>
          </cell>
        </row>
        <row r="130">
          <cell r="A130" t="str">
            <v>683/0</v>
          </cell>
          <cell r="AV130">
            <v>0</v>
          </cell>
          <cell r="AW130">
            <v>0</v>
          </cell>
        </row>
        <row r="131">
          <cell r="A131">
            <v>703</v>
          </cell>
          <cell r="AR131">
            <v>4413156.8599999994</v>
          </cell>
          <cell r="AV131">
            <v>0</v>
          </cell>
          <cell r="AW131">
            <v>0</v>
          </cell>
        </row>
        <row r="132">
          <cell r="A132">
            <v>424</v>
          </cell>
          <cell r="AV132">
            <v>0</v>
          </cell>
          <cell r="AW132">
            <v>-202748.56</v>
          </cell>
        </row>
        <row r="133">
          <cell r="A133">
            <v>745</v>
          </cell>
          <cell r="AR133">
            <v>185904.43</v>
          </cell>
          <cell r="AV133">
            <v>0</v>
          </cell>
          <cell r="AW133">
            <v>0</v>
          </cell>
        </row>
        <row r="134">
          <cell r="A134">
            <v>733</v>
          </cell>
          <cell r="AV134">
            <v>0</v>
          </cell>
          <cell r="AW134">
            <v>0</v>
          </cell>
        </row>
        <row r="135">
          <cell r="A135" t="str">
            <v>230/1</v>
          </cell>
          <cell r="AV135">
            <v>0</v>
          </cell>
          <cell r="AW135">
            <v>0</v>
          </cell>
        </row>
        <row r="136">
          <cell r="A136">
            <v>663</v>
          </cell>
          <cell r="AV136">
            <v>0</v>
          </cell>
          <cell r="AW136">
            <v>-35687.42999999976</v>
          </cell>
        </row>
        <row r="137">
          <cell r="A137" t="str">
            <v>373в</v>
          </cell>
          <cell r="AV137">
            <v>0</v>
          </cell>
          <cell r="AW137">
            <v>0</v>
          </cell>
        </row>
        <row r="138">
          <cell r="A138">
            <v>733</v>
          </cell>
          <cell r="AV138">
            <v>0</v>
          </cell>
          <cell r="AW138">
            <v>0</v>
          </cell>
        </row>
        <row r="139">
          <cell r="A139" t="str">
            <v>949/1</v>
          </cell>
          <cell r="AV139">
            <v>0</v>
          </cell>
          <cell r="AW139">
            <v>0</v>
          </cell>
        </row>
        <row r="140">
          <cell r="A140">
            <v>361</v>
          </cell>
          <cell r="AV140">
            <v>0</v>
          </cell>
          <cell r="AW140">
            <v>0</v>
          </cell>
        </row>
        <row r="141">
          <cell r="A141" t="str">
            <v>641ПДВ</v>
          </cell>
          <cell r="AV141">
            <v>0</v>
          </cell>
          <cell r="AW141">
            <v>0</v>
          </cell>
        </row>
        <row r="142">
          <cell r="A142" t="str">
            <v>949/2</v>
          </cell>
          <cell r="AV142">
            <v>0</v>
          </cell>
          <cell r="AW142">
            <v>0</v>
          </cell>
        </row>
        <row r="143">
          <cell r="A143" t="str">
            <v>703/1</v>
          </cell>
        </row>
        <row r="144">
          <cell r="A144" t="str">
            <v>482/1</v>
          </cell>
        </row>
        <row r="145">
          <cell r="AV145">
            <v>40237853.630000003</v>
          </cell>
          <cell r="AW145">
            <v>-40237853.630000003</v>
          </cell>
        </row>
      </sheetData>
      <sheetData sheetId="8" refreshError="1"/>
      <sheetData sheetId="9" refreshError="1"/>
      <sheetData sheetId="10" refreshError="1">
        <row r="1">
          <cell r="A1" t="str">
            <v>№ мемор. ордера</v>
          </cell>
          <cell r="AR1">
            <v>17</v>
          </cell>
        </row>
        <row r="2">
          <cell r="A2" t="str">
            <v>№ сч.</v>
          </cell>
          <cell r="AR2" t="str">
            <v>Д</v>
          </cell>
        </row>
        <row r="3">
          <cell r="A3">
            <v>103</v>
          </cell>
          <cell r="AV3">
            <v>2371073.7999999998</v>
          </cell>
          <cell r="AW3">
            <v>0</v>
          </cell>
        </row>
        <row r="4">
          <cell r="A4">
            <v>104</v>
          </cell>
          <cell r="AV4">
            <v>10847332.510000004</v>
          </cell>
          <cell r="AW4">
            <v>0</v>
          </cell>
        </row>
        <row r="5">
          <cell r="A5">
            <v>105</v>
          </cell>
          <cell r="AV5">
            <v>163376</v>
          </cell>
          <cell r="AW5">
            <v>0</v>
          </cell>
        </row>
        <row r="6">
          <cell r="A6">
            <v>106</v>
          </cell>
          <cell r="AV6">
            <v>565193</v>
          </cell>
          <cell r="AW6">
            <v>0</v>
          </cell>
        </row>
        <row r="7">
          <cell r="A7">
            <v>107</v>
          </cell>
          <cell r="AV7">
            <v>7131</v>
          </cell>
          <cell r="AW7">
            <v>0</v>
          </cell>
        </row>
        <row r="8">
          <cell r="A8">
            <v>131</v>
          </cell>
          <cell r="AV8">
            <v>0</v>
          </cell>
          <cell r="AW8">
            <v>-9252862.3899999987</v>
          </cell>
        </row>
        <row r="9">
          <cell r="A9">
            <v>132</v>
          </cell>
          <cell r="AV9">
            <v>0</v>
          </cell>
          <cell r="AW9">
            <v>-792553.39999999991</v>
          </cell>
        </row>
        <row r="10">
          <cell r="A10" t="str">
            <v>201/2</v>
          </cell>
          <cell r="AV10">
            <v>164934.1999999999</v>
          </cell>
          <cell r="AW10">
            <v>0</v>
          </cell>
        </row>
        <row r="11">
          <cell r="A11" t="str">
            <v>112/01</v>
          </cell>
          <cell r="AV11">
            <v>1100518.6400000001</v>
          </cell>
          <cell r="AW11">
            <v>0</v>
          </cell>
        </row>
        <row r="12">
          <cell r="A12" t="str">
            <v>112/1</v>
          </cell>
          <cell r="AV12">
            <v>0</v>
          </cell>
          <cell r="AW12">
            <v>0</v>
          </cell>
        </row>
        <row r="13">
          <cell r="A13" t="str">
            <v>112/11</v>
          </cell>
          <cell r="AV13">
            <v>248668.16999999998</v>
          </cell>
          <cell r="AW13">
            <v>0</v>
          </cell>
        </row>
        <row r="14">
          <cell r="A14" t="str">
            <v>117/01</v>
          </cell>
          <cell r="AV14">
            <v>227083.98</v>
          </cell>
          <cell r="AW14">
            <v>0</v>
          </cell>
        </row>
        <row r="15">
          <cell r="A15" t="str">
            <v>117/11</v>
          </cell>
          <cell r="AV15">
            <v>8836</v>
          </cell>
          <cell r="AW15">
            <v>0</v>
          </cell>
        </row>
        <row r="16">
          <cell r="A16">
            <v>152</v>
          </cell>
          <cell r="AV16">
            <v>22486.970000000205</v>
          </cell>
          <cell r="AW16">
            <v>0</v>
          </cell>
        </row>
        <row r="17">
          <cell r="A17" t="str">
            <v>153/0</v>
          </cell>
          <cell r="AV17">
            <v>304</v>
          </cell>
          <cell r="AW17">
            <v>0</v>
          </cell>
        </row>
        <row r="18">
          <cell r="A18" t="str">
            <v>153/1</v>
          </cell>
          <cell r="AV18">
            <v>61652.800000000003</v>
          </cell>
          <cell r="AW18">
            <v>0</v>
          </cell>
        </row>
        <row r="19">
          <cell r="A19" t="str">
            <v>201/0</v>
          </cell>
          <cell r="AV19">
            <v>84145.300000000076</v>
          </cell>
          <cell r="AW19">
            <v>0</v>
          </cell>
        </row>
        <row r="20">
          <cell r="A20" t="str">
            <v>201/01</v>
          </cell>
          <cell r="AV20">
            <v>427042.79999999958</v>
          </cell>
          <cell r="AW20">
            <v>0</v>
          </cell>
        </row>
        <row r="21">
          <cell r="A21" t="str">
            <v>201/1</v>
          </cell>
          <cell r="AV21">
            <v>11722003.960000008</v>
          </cell>
          <cell r="AW21">
            <v>0</v>
          </cell>
        </row>
        <row r="22">
          <cell r="A22" t="str">
            <v>201/10</v>
          </cell>
          <cell r="AV22">
            <v>109749.09000000001</v>
          </cell>
          <cell r="AW22">
            <v>0</v>
          </cell>
        </row>
        <row r="23">
          <cell r="A23" t="str">
            <v>201/11</v>
          </cell>
          <cell r="AV23">
            <v>13228.629999999996</v>
          </cell>
          <cell r="AW23">
            <v>0</v>
          </cell>
        </row>
        <row r="24">
          <cell r="A24" t="str">
            <v>201/12</v>
          </cell>
          <cell r="AV24">
            <v>0</v>
          </cell>
          <cell r="AW24">
            <v>0</v>
          </cell>
        </row>
        <row r="25">
          <cell r="A25" t="str">
            <v>201/14</v>
          </cell>
          <cell r="AV25">
            <v>1447801.2800000005</v>
          </cell>
          <cell r="AW25">
            <v>0</v>
          </cell>
        </row>
        <row r="26">
          <cell r="A26" t="str">
            <v>201/15</v>
          </cell>
          <cell r="AV26">
            <v>8109.8799999999983</v>
          </cell>
          <cell r="AW26">
            <v>0</v>
          </cell>
        </row>
        <row r="27">
          <cell r="A27" t="str">
            <v>201/21</v>
          </cell>
          <cell r="AV27">
            <v>405522.69000000076</v>
          </cell>
          <cell r="AW27">
            <v>0</v>
          </cell>
        </row>
        <row r="28">
          <cell r="A28" t="str">
            <v>201/22</v>
          </cell>
          <cell r="AV28">
            <v>108409.33000000005</v>
          </cell>
          <cell r="AW28">
            <v>0</v>
          </cell>
        </row>
        <row r="29">
          <cell r="A29" t="str">
            <v>201/23</v>
          </cell>
          <cell r="AV29">
            <v>0</v>
          </cell>
          <cell r="AW29">
            <v>0</v>
          </cell>
        </row>
        <row r="30">
          <cell r="A30" t="str">
            <v>201/24</v>
          </cell>
          <cell r="AV30">
            <v>188981.32999999894</v>
          </cell>
          <cell r="AW30">
            <v>0</v>
          </cell>
        </row>
        <row r="31">
          <cell r="A31" t="str">
            <v>201/241</v>
          </cell>
          <cell r="AV31">
            <v>2239.8000000000038</v>
          </cell>
          <cell r="AW31">
            <v>0</v>
          </cell>
        </row>
        <row r="32">
          <cell r="A32" t="str">
            <v>201/25</v>
          </cell>
          <cell r="AV32">
            <v>20369.809999999896</v>
          </cell>
          <cell r="AW32">
            <v>0</v>
          </cell>
        </row>
        <row r="33">
          <cell r="A33" t="str">
            <v>201/3</v>
          </cell>
          <cell r="AV33">
            <v>2072321.0299999996</v>
          </cell>
          <cell r="AW33">
            <v>0</v>
          </cell>
        </row>
        <row r="34">
          <cell r="A34" t="str">
            <v>201/5</v>
          </cell>
          <cell r="AV34">
            <v>652.66</v>
          </cell>
          <cell r="AW34">
            <v>0</v>
          </cell>
        </row>
        <row r="35">
          <cell r="A35" t="str">
            <v>201/6</v>
          </cell>
          <cell r="AV35">
            <v>184158.08000000007</v>
          </cell>
          <cell r="AW35">
            <v>0</v>
          </cell>
        </row>
        <row r="36">
          <cell r="A36" t="str">
            <v>201/7</v>
          </cell>
          <cell r="AV36">
            <v>0</v>
          </cell>
          <cell r="AW36">
            <v>0</v>
          </cell>
        </row>
        <row r="37">
          <cell r="A37" t="str">
            <v>201/812</v>
          </cell>
          <cell r="AV37">
            <v>86.05000000000301</v>
          </cell>
          <cell r="AW37">
            <v>0</v>
          </cell>
        </row>
        <row r="38">
          <cell r="A38" t="str">
            <v>201/242</v>
          </cell>
          <cell r="AV38">
            <v>598.82999999999265</v>
          </cell>
          <cell r="AW38">
            <v>0</v>
          </cell>
        </row>
        <row r="39">
          <cell r="A39" t="str">
            <v>205/0</v>
          </cell>
          <cell r="AV39">
            <v>0</v>
          </cell>
          <cell r="AW39">
            <v>0</v>
          </cell>
        </row>
        <row r="40">
          <cell r="A40" t="str">
            <v>205/01</v>
          </cell>
          <cell r="AV40">
            <v>56236.890000000007</v>
          </cell>
          <cell r="AW40">
            <v>0</v>
          </cell>
        </row>
        <row r="41">
          <cell r="A41" t="str">
            <v>205/1</v>
          </cell>
          <cell r="AV41">
            <v>0</v>
          </cell>
          <cell r="AW41">
            <v>0</v>
          </cell>
        </row>
        <row r="42">
          <cell r="A42" t="str">
            <v>205/11</v>
          </cell>
          <cell r="AV42">
            <v>464.99999999999955</v>
          </cell>
          <cell r="AW42">
            <v>0</v>
          </cell>
        </row>
        <row r="43">
          <cell r="A43" t="str">
            <v>203/0</v>
          </cell>
          <cell r="AV43">
            <v>35248.979999999996</v>
          </cell>
          <cell r="AW43">
            <v>0</v>
          </cell>
        </row>
        <row r="44">
          <cell r="A44" t="str">
            <v>203/01</v>
          </cell>
          <cell r="AV44">
            <v>2549.3000000000002</v>
          </cell>
          <cell r="AW44">
            <v>0</v>
          </cell>
        </row>
        <row r="45">
          <cell r="A45" t="str">
            <v>207/0</v>
          </cell>
          <cell r="AV45">
            <v>1250</v>
          </cell>
          <cell r="AW45">
            <v>0</v>
          </cell>
        </row>
        <row r="46">
          <cell r="A46" t="str">
            <v>207/01</v>
          </cell>
          <cell r="AV46">
            <v>3865.5900000000011</v>
          </cell>
          <cell r="AW46">
            <v>0</v>
          </cell>
        </row>
        <row r="47">
          <cell r="A47" t="str">
            <v>207/1</v>
          </cell>
          <cell r="AV47">
            <v>0</v>
          </cell>
          <cell r="AW47">
            <v>0</v>
          </cell>
        </row>
        <row r="48">
          <cell r="A48" t="str">
            <v>207/11</v>
          </cell>
          <cell r="AV48">
            <v>13218.190000000002</v>
          </cell>
          <cell r="AW48">
            <v>0</v>
          </cell>
        </row>
        <row r="49">
          <cell r="A49">
            <v>204</v>
          </cell>
          <cell r="AV49">
            <v>0</v>
          </cell>
          <cell r="AW49">
            <v>0</v>
          </cell>
        </row>
        <row r="50">
          <cell r="A50" t="str">
            <v>209/1</v>
          </cell>
          <cell r="AV50">
            <v>0</v>
          </cell>
          <cell r="AW50">
            <v>0</v>
          </cell>
        </row>
        <row r="51">
          <cell r="A51" t="str">
            <v>209/11</v>
          </cell>
          <cell r="AV51">
            <v>83.69</v>
          </cell>
          <cell r="AW51">
            <v>0</v>
          </cell>
        </row>
        <row r="52">
          <cell r="A52" t="str">
            <v>221/0</v>
          </cell>
          <cell r="AV52">
            <v>15853.700000000003</v>
          </cell>
          <cell r="AW52">
            <v>0</v>
          </cell>
        </row>
        <row r="53">
          <cell r="A53" t="str">
            <v>221/01</v>
          </cell>
          <cell r="AV53">
            <v>96216.960000000036</v>
          </cell>
          <cell r="AW53">
            <v>0</v>
          </cell>
        </row>
        <row r="54">
          <cell r="A54" t="str">
            <v>221/1</v>
          </cell>
          <cell r="AV54">
            <v>15000</v>
          </cell>
          <cell r="AW54">
            <v>0</v>
          </cell>
        </row>
        <row r="55">
          <cell r="A55" t="str">
            <v>221/11</v>
          </cell>
          <cell r="AV55">
            <v>35687</v>
          </cell>
          <cell r="AW55">
            <v>0</v>
          </cell>
        </row>
        <row r="56">
          <cell r="A56" t="str">
            <v>631/01</v>
          </cell>
          <cell r="AV56">
            <v>0</v>
          </cell>
          <cell r="AW56">
            <v>-5.8207660913467407E-11</v>
          </cell>
        </row>
        <row r="57">
          <cell r="A57" t="str">
            <v>631/02</v>
          </cell>
          <cell r="AV57">
            <v>0</v>
          </cell>
          <cell r="AW57">
            <v>-5.8207660913467407E-11</v>
          </cell>
        </row>
        <row r="58">
          <cell r="A58" t="str">
            <v>311/2</v>
          </cell>
          <cell r="AV58">
            <v>148624.88999999996</v>
          </cell>
          <cell r="AW58">
            <v>0</v>
          </cell>
        </row>
        <row r="59">
          <cell r="A59" t="str">
            <v>205/02 НСЗУ</v>
          </cell>
          <cell r="AV59">
            <v>5.6843418860808015E-14</v>
          </cell>
          <cell r="AW59">
            <v>0</v>
          </cell>
        </row>
        <row r="60">
          <cell r="A60" t="str">
            <v>221/2</v>
          </cell>
          <cell r="AV60">
            <v>9.0949470177292824E-13</v>
          </cell>
          <cell r="AW60">
            <v>0</v>
          </cell>
        </row>
        <row r="61">
          <cell r="A61">
            <v>378</v>
          </cell>
          <cell r="AV61">
            <v>35245.119999999959</v>
          </cell>
          <cell r="AW61">
            <v>0</v>
          </cell>
        </row>
        <row r="62">
          <cell r="A62">
            <v>375</v>
          </cell>
          <cell r="AV62">
            <v>0</v>
          </cell>
          <cell r="AW62">
            <v>0</v>
          </cell>
        </row>
        <row r="63">
          <cell r="A63">
            <v>372</v>
          </cell>
          <cell r="AV63">
            <v>0</v>
          </cell>
          <cell r="AW63">
            <v>0</v>
          </cell>
        </row>
        <row r="64">
          <cell r="A64" t="str">
            <v>377/0</v>
          </cell>
          <cell r="AV64">
            <v>6100</v>
          </cell>
          <cell r="AW64">
            <v>0</v>
          </cell>
        </row>
        <row r="65">
          <cell r="A65">
            <v>301</v>
          </cell>
          <cell r="AV65">
            <v>0</v>
          </cell>
          <cell r="AW65">
            <v>-3.637978807091713E-12</v>
          </cell>
        </row>
        <row r="66">
          <cell r="A66">
            <v>331</v>
          </cell>
          <cell r="AV66">
            <v>8379.8300000000017</v>
          </cell>
          <cell r="AW66">
            <v>0</v>
          </cell>
        </row>
        <row r="67">
          <cell r="AV67">
            <v>0</v>
          </cell>
          <cell r="AW67">
            <v>0</v>
          </cell>
        </row>
        <row r="68">
          <cell r="A68">
            <v>903</v>
          </cell>
          <cell r="AV68">
            <v>0</v>
          </cell>
          <cell r="AW68">
            <v>0</v>
          </cell>
        </row>
        <row r="69">
          <cell r="A69">
            <v>311</v>
          </cell>
          <cell r="AV69">
            <v>136567.0499999997</v>
          </cell>
          <cell r="AW69">
            <v>0</v>
          </cell>
        </row>
        <row r="70">
          <cell r="A70" t="str">
            <v>315/1</v>
          </cell>
          <cell r="AV70">
            <v>0</v>
          </cell>
          <cell r="AW70">
            <v>0</v>
          </cell>
        </row>
        <row r="71">
          <cell r="A71" t="str">
            <v>377/1</v>
          </cell>
          <cell r="AV71">
            <v>0</v>
          </cell>
          <cell r="AW71">
            <v>0</v>
          </cell>
        </row>
        <row r="72">
          <cell r="A72" t="str">
            <v>201/17</v>
          </cell>
          <cell r="AV72">
            <v>41304.369999999988</v>
          </cell>
          <cell r="AW72">
            <v>0</v>
          </cell>
        </row>
        <row r="73">
          <cell r="A73" t="str">
            <v>205/2</v>
          </cell>
          <cell r="AV73">
            <v>0</v>
          </cell>
          <cell r="AW73">
            <v>0</v>
          </cell>
        </row>
        <row r="74">
          <cell r="A74">
            <v>401</v>
          </cell>
          <cell r="AV74">
            <v>0</v>
          </cell>
          <cell r="AW74">
            <v>-5512659.5099999998</v>
          </cell>
        </row>
        <row r="75">
          <cell r="A75" t="str">
            <v>483/2</v>
          </cell>
          <cell r="AV75">
            <v>0</v>
          </cell>
          <cell r="AW75">
            <v>-15000</v>
          </cell>
        </row>
        <row r="76">
          <cell r="A76" t="str">
            <v>483/1</v>
          </cell>
          <cell r="AV76">
            <v>0</v>
          </cell>
          <cell r="AW76">
            <v>-4305</v>
          </cell>
        </row>
        <row r="77">
          <cell r="A77" t="str">
            <v>483/0</v>
          </cell>
          <cell r="AV77">
            <v>0</v>
          </cell>
          <cell r="AW77">
            <v>-2264034.9000000004</v>
          </cell>
        </row>
        <row r="78">
          <cell r="A78">
            <v>482</v>
          </cell>
          <cell r="AV78">
            <v>0</v>
          </cell>
          <cell r="AW78">
            <v>-4863</v>
          </cell>
        </row>
        <row r="79">
          <cell r="A79">
            <v>791</v>
          </cell>
          <cell r="AR79">
            <v>18130184.880000003</v>
          </cell>
          <cell r="AV79">
            <v>7.4505805969238281E-9</v>
          </cell>
          <cell r="AW79">
            <v>0</v>
          </cell>
        </row>
        <row r="80">
          <cell r="A80">
            <v>441</v>
          </cell>
          <cell r="AV80">
            <v>0</v>
          </cell>
          <cell r="AW80">
            <v>-10012524.529999999</v>
          </cell>
        </row>
        <row r="81">
          <cell r="A81">
            <v>790</v>
          </cell>
          <cell r="AV81">
            <v>0</v>
          </cell>
          <cell r="AW81">
            <v>0</v>
          </cell>
        </row>
        <row r="82">
          <cell r="A82">
            <v>685</v>
          </cell>
          <cell r="AV82">
            <v>0</v>
          </cell>
          <cell r="AW82">
            <v>0</v>
          </cell>
        </row>
        <row r="83">
          <cell r="A83">
            <v>641</v>
          </cell>
          <cell r="AV83">
            <v>0</v>
          </cell>
          <cell r="AW83">
            <v>-7244.1300000002375</v>
          </cell>
        </row>
        <row r="84">
          <cell r="A84">
            <v>642</v>
          </cell>
          <cell r="AV84">
            <v>0</v>
          </cell>
          <cell r="AW84">
            <v>-474.80999999993946</v>
          </cell>
        </row>
        <row r="85">
          <cell r="A85">
            <v>651</v>
          </cell>
          <cell r="AV85">
            <v>6.9849193096160889E-10</v>
          </cell>
          <cell r="AW85">
            <v>0</v>
          </cell>
        </row>
        <row r="86">
          <cell r="A86" t="str">
            <v>651А</v>
          </cell>
          <cell r="AV86">
            <v>6.8394001573324203E-10</v>
          </cell>
          <cell r="AW86">
            <v>0</v>
          </cell>
        </row>
        <row r="87">
          <cell r="A87">
            <v>662</v>
          </cell>
          <cell r="AV87">
            <v>0</v>
          </cell>
          <cell r="AW87">
            <v>0</v>
          </cell>
        </row>
        <row r="88">
          <cell r="A88">
            <v>661</v>
          </cell>
          <cell r="AV88">
            <v>0</v>
          </cell>
          <cell r="AW88">
            <v>-3975.0200000004843</v>
          </cell>
        </row>
        <row r="89">
          <cell r="A89" t="str">
            <v>685/2</v>
          </cell>
          <cell r="AV89">
            <v>0</v>
          </cell>
          <cell r="AW89">
            <v>-50</v>
          </cell>
        </row>
        <row r="90">
          <cell r="A90" t="str">
            <v>685/3</v>
          </cell>
          <cell r="AV90">
            <v>0</v>
          </cell>
          <cell r="AW90">
            <v>0</v>
          </cell>
        </row>
        <row r="91">
          <cell r="A91" t="str">
            <v>484/0</v>
          </cell>
          <cell r="AV91">
            <v>0</v>
          </cell>
          <cell r="AW91">
            <v>-14017187.420000002</v>
          </cell>
        </row>
        <row r="92">
          <cell r="A92" t="str">
            <v>482/0</v>
          </cell>
          <cell r="AR92">
            <v>4605870.7300000004</v>
          </cell>
          <cell r="AV92">
            <v>0</v>
          </cell>
          <cell r="AW92">
            <v>0</v>
          </cell>
        </row>
        <row r="93">
          <cell r="A93">
            <v>442</v>
          </cell>
          <cell r="AV93">
            <v>0</v>
          </cell>
          <cell r="AW93">
            <v>0</v>
          </cell>
        </row>
        <row r="94">
          <cell r="A94">
            <v>719</v>
          </cell>
          <cell r="AR94">
            <v>160239.45000000001</v>
          </cell>
          <cell r="AV94">
            <v>0</v>
          </cell>
          <cell r="AW94">
            <v>0</v>
          </cell>
        </row>
        <row r="95">
          <cell r="A95">
            <v>718</v>
          </cell>
          <cell r="AR95">
            <v>40132.199999999997</v>
          </cell>
          <cell r="AV95">
            <v>0</v>
          </cell>
          <cell r="AW95">
            <v>0</v>
          </cell>
        </row>
        <row r="96">
          <cell r="A96" t="str">
            <v>718/0</v>
          </cell>
          <cell r="AR96">
            <v>2794784.98</v>
          </cell>
          <cell r="AV96">
            <v>0</v>
          </cell>
          <cell r="AW96">
            <v>0</v>
          </cell>
        </row>
        <row r="97">
          <cell r="A97">
            <v>910</v>
          </cell>
          <cell r="AV97">
            <v>0</v>
          </cell>
          <cell r="AW97">
            <v>0</v>
          </cell>
        </row>
        <row r="98">
          <cell r="A98">
            <v>930</v>
          </cell>
          <cell r="AV98">
            <v>0</v>
          </cell>
          <cell r="AW98">
            <v>0</v>
          </cell>
        </row>
        <row r="99">
          <cell r="A99">
            <v>940</v>
          </cell>
          <cell r="AV99">
            <v>0</v>
          </cell>
          <cell r="AW99">
            <v>0</v>
          </cell>
        </row>
        <row r="100">
          <cell r="A100">
            <v>230</v>
          </cell>
          <cell r="AV100">
            <v>0</v>
          </cell>
          <cell r="AW100">
            <v>0</v>
          </cell>
        </row>
        <row r="101">
          <cell r="A101" t="str">
            <v>920/0</v>
          </cell>
          <cell r="AV101">
            <v>0</v>
          </cell>
          <cell r="AW101">
            <v>0</v>
          </cell>
        </row>
        <row r="102">
          <cell r="A102" t="str">
            <v>207/2</v>
          </cell>
          <cell r="AV102">
            <v>0</v>
          </cell>
          <cell r="AW102">
            <v>0</v>
          </cell>
        </row>
        <row r="103">
          <cell r="A103">
            <v>948</v>
          </cell>
          <cell r="AV103">
            <v>0</v>
          </cell>
          <cell r="AW103">
            <v>0</v>
          </cell>
        </row>
        <row r="104">
          <cell r="A104">
            <v>69</v>
          </cell>
          <cell r="AV104">
            <v>0</v>
          </cell>
          <cell r="AW104">
            <v>0</v>
          </cell>
        </row>
        <row r="105">
          <cell r="A105">
            <v>425</v>
          </cell>
          <cell r="AV105">
            <v>0</v>
          </cell>
          <cell r="AW105">
            <v>0</v>
          </cell>
        </row>
        <row r="106">
          <cell r="A106" t="str">
            <v>203/11</v>
          </cell>
          <cell r="AV106">
            <v>0</v>
          </cell>
          <cell r="AW106">
            <v>0</v>
          </cell>
        </row>
        <row r="107">
          <cell r="A107">
            <v>631</v>
          </cell>
          <cell r="AV107">
            <v>0</v>
          </cell>
          <cell r="AW107">
            <v>0</v>
          </cell>
        </row>
        <row r="108">
          <cell r="A108" t="str">
            <v>377/1</v>
          </cell>
          <cell r="AV108">
            <v>0</v>
          </cell>
          <cell r="AW108">
            <v>0</v>
          </cell>
        </row>
        <row r="109">
          <cell r="A109" t="str">
            <v>201/20</v>
          </cell>
          <cell r="AV109">
            <v>37296.03</v>
          </cell>
          <cell r="AW109">
            <v>0</v>
          </cell>
        </row>
        <row r="110">
          <cell r="A110" t="str">
            <v>377/15</v>
          </cell>
          <cell r="AV110">
            <v>0</v>
          </cell>
          <cell r="AW110">
            <v>0</v>
          </cell>
        </row>
        <row r="111">
          <cell r="A111" t="str">
            <v>201/13</v>
          </cell>
          <cell r="AV111">
            <v>12780.63</v>
          </cell>
          <cell r="AW111">
            <v>0</v>
          </cell>
        </row>
        <row r="112">
          <cell r="A112" t="str">
            <v>201/16</v>
          </cell>
          <cell r="AV112">
            <v>0</v>
          </cell>
          <cell r="AW112">
            <v>0</v>
          </cell>
        </row>
        <row r="113">
          <cell r="A113" t="str">
            <v>361/1</v>
          </cell>
          <cell r="AV113">
            <v>3688721.33</v>
          </cell>
          <cell r="AW113">
            <v>0</v>
          </cell>
        </row>
        <row r="114">
          <cell r="A114" t="str">
            <v>201/4</v>
          </cell>
          <cell r="AV114">
            <v>0</v>
          </cell>
          <cell r="AW114">
            <v>0</v>
          </cell>
        </row>
        <row r="115">
          <cell r="A115" t="str">
            <v>201/8</v>
          </cell>
          <cell r="AV115">
            <v>96023.01</v>
          </cell>
          <cell r="AW115">
            <v>0</v>
          </cell>
        </row>
        <row r="116">
          <cell r="A116" t="str">
            <v>201/9</v>
          </cell>
          <cell r="AV116">
            <v>11250</v>
          </cell>
          <cell r="AW116">
            <v>0</v>
          </cell>
        </row>
        <row r="117">
          <cell r="A117" t="str">
            <v>377/21</v>
          </cell>
          <cell r="AV117">
            <v>0</v>
          </cell>
          <cell r="AW117">
            <v>0</v>
          </cell>
        </row>
        <row r="118">
          <cell r="A118" t="str">
            <v>683/22</v>
          </cell>
          <cell r="AV118">
            <v>0</v>
          </cell>
          <cell r="AW118">
            <v>0</v>
          </cell>
        </row>
        <row r="119">
          <cell r="A119" t="str">
            <v>377/24</v>
          </cell>
          <cell r="AV119">
            <v>0</v>
          </cell>
          <cell r="AW119">
            <v>0</v>
          </cell>
        </row>
        <row r="120">
          <cell r="A120" t="str">
            <v>377/25</v>
          </cell>
          <cell r="AV120">
            <v>0</v>
          </cell>
          <cell r="AW120">
            <v>0</v>
          </cell>
        </row>
        <row r="121">
          <cell r="A121" t="str">
            <v>377/241</v>
          </cell>
          <cell r="AV121">
            <v>0</v>
          </cell>
          <cell r="AW121">
            <v>0</v>
          </cell>
        </row>
        <row r="122">
          <cell r="A122" t="str">
            <v>377/242</v>
          </cell>
          <cell r="AV122">
            <v>0</v>
          </cell>
          <cell r="AW122">
            <v>0</v>
          </cell>
        </row>
        <row r="123">
          <cell r="A123">
            <v>37714</v>
          </cell>
          <cell r="AV123">
            <v>0</v>
          </cell>
          <cell r="AW123">
            <v>0</v>
          </cell>
        </row>
        <row r="124">
          <cell r="A124" t="str">
            <v>644/1</v>
          </cell>
          <cell r="AV124">
            <v>12443.149999999994</v>
          </cell>
          <cell r="AW124">
            <v>0</v>
          </cell>
        </row>
        <row r="125">
          <cell r="A125" t="str">
            <v>641/7</v>
          </cell>
          <cell r="AV125">
            <v>0</v>
          </cell>
          <cell r="AW125">
            <v>0</v>
          </cell>
        </row>
        <row r="126">
          <cell r="A126" t="str">
            <v>643/1</v>
          </cell>
          <cell r="AV126">
            <v>0</v>
          </cell>
          <cell r="AW126">
            <v>0</v>
          </cell>
        </row>
        <row r="127">
          <cell r="A127" t="str">
            <v>949/0</v>
          </cell>
          <cell r="AR127">
            <v>6100</v>
          </cell>
          <cell r="AV127">
            <v>0</v>
          </cell>
          <cell r="AW127">
            <v>0</v>
          </cell>
        </row>
        <row r="128">
          <cell r="A128" t="str">
            <v>311/1</v>
          </cell>
          <cell r="AV128">
            <v>2429993.2199999997</v>
          </cell>
          <cell r="AW128">
            <v>0</v>
          </cell>
        </row>
        <row r="129">
          <cell r="A129" t="str">
            <v>644/2</v>
          </cell>
          <cell r="AV129">
            <v>0</v>
          </cell>
          <cell r="AW129">
            <v>0</v>
          </cell>
        </row>
        <row r="130">
          <cell r="A130" t="str">
            <v>683/0</v>
          </cell>
          <cell r="AV130">
            <v>0</v>
          </cell>
          <cell r="AW130">
            <v>0</v>
          </cell>
        </row>
        <row r="131">
          <cell r="A131">
            <v>703</v>
          </cell>
          <cell r="AR131">
            <v>4908001.12</v>
          </cell>
          <cell r="AV131">
            <v>0</v>
          </cell>
          <cell r="AW131">
            <v>0</v>
          </cell>
        </row>
        <row r="132">
          <cell r="A132">
            <v>424</v>
          </cell>
          <cell r="AV132">
            <v>0</v>
          </cell>
          <cell r="AW132">
            <v>-193199.52000000002</v>
          </cell>
        </row>
        <row r="133">
          <cell r="A133">
            <v>745</v>
          </cell>
          <cell r="AR133">
            <v>179234.49</v>
          </cell>
          <cell r="AV133">
            <v>0</v>
          </cell>
          <cell r="AW133">
            <v>0</v>
          </cell>
        </row>
        <row r="134">
          <cell r="A134">
            <v>733</v>
          </cell>
          <cell r="AV134">
            <v>0</v>
          </cell>
          <cell r="AW134">
            <v>0</v>
          </cell>
        </row>
        <row r="135">
          <cell r="A135" t="str">
            <v>112/02</v>
          </cell>
          <cell r="AV135">
            <v>0</v>
          </cell>
          <cell r="AW135">
            <v>0</v>
          </cell>
        </row>
        <row r="136">
          <cell r="A136">
            <v>663</v>
          </cell>
          <cell r="AV136">
            <v>0</v>
          </cell>
          <cell r="AW136">
            <v>-28372.319999999774</v>
          </cell>
        </row>
        <row r="137">
          <cell r="A137" t="str">
            <v>153/2</v>
          </cell>
          <cell r="AV137">
            <v>0</v>
          </cell>
          <cell r="AW137">
            <v>0</v>
          </cell>
        </row>
        <row r="138">
          <cell r="A138">
            <v>733</v>
          </cell>
          <cell r="AV138">
            <v>0</v>
          </cell>
          <cell r="AW138">
            <v>0</v>
          </cell>
        </row>
        <row r="139">
          <cell r="A139" t="str">
            <v>949/1</v>
          </cell>
          <cell r="AV139">
            <v>0</v>
          </cell>
          <cell r="AW139">
            <v>0</v>
          </cell>
        </row>
        <row r="140">
          <cell r="A140">
            <v>361</v>
          </cell>
          <cell r="AV140">
            <v>1673956.86</v>
          </cell>
          <cell r="AW140">
            <v>0</v>
          </cell>
        </row>
        <row r="141">
          <cell r="A141" t="str">
            <v>641ПДВ</v>
          </cell>
          <cell r="AV141">
            <v>2513</v>
          </cell>
          <cell r="AW141">
            <v>0</v>
          </cell>
        </row>
        <row r="142">
          <cell r="A142" t="str">
            <v>949/2</v>
          </cell>
          <cell r="AV142">
            <v>0</v>
          </cell>
          <cell r="AW142">
            <v>0</v>
          </cell>
        </row>
        <row r="143">
          <cell r="A143" t="str">
            <v>703/1</v>
          </cell>
          <cell r="AR143">
            <v>5143341.4400000004</v>
          </cell>
          <cell r="AV143">
            <v>0</v>
          </cell>
          <cell r="AW143">
            <v>0</v>
          </cell>
        </row>
        <row r="144">
          <cell r="A144" t="str">
            <v>482/1</v>
          </cell>
          <cell r="AR144">
            <v>4609.6499999999996</v>
          </cell>
          <cell r="AV144">
            <v>0</v>
          </cell>
          <cell r="AW144">
            <v>0</v>
          </cell>
        </row>
        <row r="145">
          <cell r="A145" t="str">
            <v>311/3інт</v>
          </cell>
          <cell r="AV145">
            <v>0</v>
          </cell>
          <cell r="AW145">
            <v>0</v>
          </cell>
        </row>
        <row r="146">
          <cell r="A146" t="str">
            <v>311/4п.33</v>
          </cell>
          <cell r="AV146">
            <v>454210.27</v>
          </cell>
          <cell r="AW146">
            <v>0</v>
          </cell>
        </row>
        <row r="147">
          <cell r="A147" t="str">
            <v>361/1</v>
          </cell>
          <cell r="AV147">
            <v>454210.27</v>
          </cell>
          <cell r="AW147">
            <v>0</v>
          </cell>
        </row>
        <row r="148">
          <cell r="A148">
            <v>641</v>
          </cell>
          <cell r="AR148">
            <v>454210.27</v>
          </cell>
          <cell r="AV148">
            <v>0</v>
          </cell>
          <cell r="AW148">
            <v>0</v>
          </cell>
        </row>
        <row r="149">
          <cell r="A149" t="str">
            <v>221/02</v>
          </cell>
          <cell r="AV149">
            <v>0</v>
          </cell>
          <cell r="AW149">
            <v>0</v>
          </cell>
        </row>
        <row r="150">
          <cell r="A150" t="str">
            <v>207/02</v>
          </cell>
          <cell r="AV150">
            <v>0</v>
          </cell>
          <cell r="AW150">
            <v>0</v>
          </cell>
        </row>
        <row r="153">
          <cell r="AW153">
            <v>-32063890.160000004</v>
          </cell>
        </row>
      </sheetData>
      <sheetData sheetId="11" refreshError="1"/>
      <sheetData sheetId="12" refreshError="1"/>
      <sheetData sheetId="13" refreshError="1">
        <row r="1">
          <cell r="A1" t="str">
            <v>№ мемор. ордера</v>
          </cell>
          <cell r="AR1" t="str">
            <v>17 закриття</v>
          </cell>
        </row>
        <row r="2">
          <cell r="A2" t="str">
            <v>№ сч.</v>
          </cell>
          <cell r="AR2" t="str">
            <v>Д</v>
          </cell>
        </row>
        <row r="3">
          <cell r="A3">
            <v>103</v>
          </cell>
          <cell r="AV3">
            <v>2371073.7999999998</v>
          </cell>
          <cell r="AW3">
            <v>0</v>
          </cell>
        </row>
        <row r="4">
          <cell r="A4">
            <v>104</v>
          </cell>
          <cell r="AV4">
            <v>11209909.480000004</v>
          </cell>
          <cell r="AW4">
            <v>0</v>
          </cell>
        </row>
        <row r="5">
          <cell r="A5">
            <v>105</v>
          </cell>
          <cell r="AV5">
            <v>163376</v>
          </cell>
          <cell r="AW5">
            <v>0</v>
          </cell>
        </row>
        <row r="6">
          <cell r="A6">
            <v>106</v>
          </cell>
          <cell r="AV6">
            <v>565360</v>
          </cell>
          <cell r="AW6">
            <v>0</v>
          </cell>
        </row>
        <row r="7">
          <cell r="A7">
            <v>107</v>
          </cell>
          <cell r="AV7">
            <v>7131</v>
          </cell>
          <cell r="AW7">
            <v>0</v>
          </cell>
        </row>
        <row r="8">
          <cell r="A8">
            <v>131</v>
          </cell>
          <cell r="AV8">
            <v>0</v>
          </cell>
          <cell r="AW8">
            <v>-9417480.9199999999</v>
          </cell>
        </row>
        <row r="9">
          <cell r="A9">
            <v>132</v>
          </cell>
          <cell r="AV9">
            <v>0</v>
          </cell>
          <cell r="AW9">
            <v>-836422.87999999989</v>
          </cell>
        </row>
        <row r="10">
          <cell r="A10" t="str">
            <v>201/2</v>
          </cell>
          <cell r="AV10">
            <v>208751.54999999987</v>
          </cell>
          <cell r="AW10">
            <v>0</v>
          </cell>
        </row>
        <row r="11">
          <cell r="A11" t="str">
            <v>112/01</v>
          </cell>
          <cell r="AV11">
            <v>1100518.6400000001</v>
          </cell>
          <cell r="AW11">
            <v>0</v>
          </cell>
        </row>
        <row r="12">
          <cell r="A12" t="str">
            <v>112/1</v>
          </cell>
          <cell r="AV12">
            <v>0</v>
          </cell>
          <cell r="AW12">
            <v>0</v>
          </cell>
        </row>
        <row r="13">
          <cell r="A13" t="str">
            <v>112/11</v>
          </cell>
          <cell r="AV13">
            <v>324308.12999999995</v>
          </cell>
          <cell r="AW13">
            <v>0</v>
          </cell>
        </row>
        <row r="14">
          <cell r="A14" t="str">
            <v>117/01</v>
          </cell>
          <cell r="AV14">
            <v>227233.98</v>
          </cell>
          <cell r="AW14">
            <v>0</v>
          </cell>
        </row>
        <row r="15">
          <cell r="A15" t="str">
            <v>117/11</v>
          </cell>
          <cell r="AV15">
            <v>10186</v>
          </cell>
          <cell r="AW15">
            <v>0</v>
          </cell>
        </row>
        <row r="16">
          <cell r="A16">
            <v>152</v>
          </cell>
          <cell r="AV16">
            <v>2.3283064365386963E-10</v>
          </cell>
          <cell r="AW16">
            <v>0</v>
          </cell>
        </row>
        <row r="17">
          <cell r="A17" t="str">
            <v>153/0</v>
          </cell>
          <cell r="AV17">
            <v>154</v>
          </cell>
          <cell r="AW17">
            <v>0</v>
          </cell>
        </row>
        <row r="18">
          <cell r="A18" t="str">
            <v>153/1</v>
          </cell>
          <cell r="AV18">
            <v>0</v>
          </cell>
          <cell r="AW18">
            <v>0</v>
          </cell>
        </row>
        <row r="19">
          <cell r="A19" t="str">
            <v>201/0</v>
          </cell>
          <cell r="AV19">
            <v>36081.800000000076</v>
          </cell>
          <cell r="AW19">
            <v>0</v>
          </cell>
        </row>
        <row r="20">
          <cell r="A20" t="str">
            <v>201/01</v>
          </cell>
          <cell r="AV20">
            <v>276824.68999999959</v>
          </cell>
          <cell r="AW20">
            <v>0</v>
          </cell>
        </row>
        <row r="21">
          <cell r="A21" t="str">
            <v>201/1</v>
          </cell>
          <cell r="AV21">
            <v>10225312.190000009</v>
          </cell>
          <cell r="AW21">
            <v>0</v>
          </cell>
        </row>
        <row r="22">
          <cell r="A22" t="str">
            <v>201/10</v>
          </cell>
          <cell r="AV22">
            <v>105010.84000000001</v>
          </cell>
          <cell r="AW22">
            <v>0</v>
          </cell>
        </row>
        <row r="23">
          <cell r="A23" t="str">
            <v>201/11</v>
          </cell>
          <cell r="AV23">
            <v>12267.579999999996</v>
          </cell>
          <cell r="AW23">
            <v>0</v>
          </cell>
        </row>
        <row r="24">
          <cell r="A24" t="str">
            <v>201/12</v>
          </cell>
          <cell r="AV24">
            <v>0</v>
          </cell>
          <cell r="AW24">
            <v>0</v>
          </cell>
        </row>
        <row r="25">
          <cell r="A25" t="str">
            <v>201/14</v>
          </cell>
          <cell r="AV25">
            <v>1449603.7700000005</v>
          </cell>
          <cell r="AW25">
            <v>0</v>
          </cell>
        </row>
        <row r="26">
          <cell r="A26" t="str">
            <v>201/15</v>
          </cell>
          <cell r="AV26">
            <v>6202.0199999999977</v>
          </cell>
          <cell r="AW26">
            <v>0</v>
          </cell>
        </row>
        <row r="27">
          <cell r="A27" t="str">
            <v>201/21</v>
          </cell>
          <cell r="AV27">
            <v>480665.71000000084</v>
          </cell>
          <cell r="AW27">
            <v>0</v>
          </cell>
        </row>
        <row r="28">
          <cell r="A28" t="str">
            <v>201/22</v>
          </cell>
          <cell r="AV28">
            <v>74235.240000000049</v>
          </cell>
          <cell r="AW28">
            <v>0</v>
          </cell>
        </row>
        <row r="29">
          <cell r="A29" t="str">
            <v>201/23</v>
          </cell>
          <cell r="AV29">
            <v>79.010000000000218</v>
          </cell>
          <cell r="AW29">
            <v>0</v>
          </cell>
        </row>
        <row r="30">
          <cell r="A30" t="str">
            <v>201/24</v>
          </cell>
          <cell r="AV30">
            <v>289216.52999999892</v>
          </cell>
          <cell r="AW30">
            <v>0</v>
          </cell>
        </row>
        <row r="31">
          <cell r="A31" t="str">
            <v>201/241</v>
          </cell>
          <cell r="AV31">
            <v>3.886668764607748E-12</v>
          </cell>
          <cell r="AW31">
            <v>0</v>
          </cell>
        </row>
        <row r="32">
          <cell r="A32" t="str">
            <v>201/25</v>
          </cell>
          <cell r="AV32">
            <v>11332.929999999895</v>
          </cell>
          <cell r="AW32">
            <v>0</v>
          </cell>
        </row>
        <row r="33">
          <cell r="A33" t="str">
            <v>201/3</v>
          </cell>
          <cell r="AV33">
            <v>1901630.4699999995</v>
          </cell>
          <cell r="AW33">
            <v>0</v>
          </cell>
        </row>
        <row r="34">
          <cell r="A34" t="str">
            <v>201/5</v>
          </cell>
          <cell r="AV34">
            <v>411.26</v>
          </cell>
          <cell r="AW34">
            <v>0</v>
          </cell>
        </row>
        <row r="35">
          <cell r="A35" t="str">
            <v>201/6</v>
          </cell>
          <cell r="AV35">
            <v>103769.12000000005</v>
          </cell>
          <cell r="AW35">
            <v>0</v>
          </cell>
        </row>
        <row r="36">
          <cell r="A36" t="str">
            <v>201/7</v>
          </cell>
          <cell r="AV36">
            <v>0</v>
          </cell>
          <cell r="AW36">
            <v>0</v>
          </cell>
        </row>
        <row r="37">
          <cell r="A37" t="str">
            <v>201/812</v>
          </cell>
          <cell r="AV37">
            <v>3843.5800000000036</v>
          </cell>
          <cell r="AW37">
            <v>0</v>
          </cell>
        </row>
        <row r="38">
          <cell r="A38" t="str">
            <v>201/242</v>
          </cell>
          <cell r="AV38">
            <v>0</v>
          </cell>
          <cell r="AW38">
            <v>-7.3896444519050419E-12</v>
          </cell>
        </row>
        <row r="39">
          <cell r="A39" t="str">
            <v>205/0</v>
          </cell>
          <cell r="AV39">
            <v>0</v>
          </cell>
          <cell r="AW39">
            <v>0</v>
          </cell>
        </row>
        <row r="40">
          <cell r="A40" t="str">
            <v>205/01</v>
          </cell>
          <cell r="AV40">
            <v>9914.0600000000049</v>
          </cell>
          <cell r="AW40">
            <v>0</v>
          </cell>
        </row>
        <row r="41">
          <cell r="A41" t="str">
            <v>205/1</v>
          </cell>
          <cell r="AV41">
            <v>0</v>
          </cell>
          <cell r="AW41">
            <v>0</v>
          </cell>
        </row>
        <row r="42">
          <cell r="A42" t="str">
            <v>205/11</v>
          </cell>
          <cell r="AV42">
            <v>0</v>
          </cell>
          <cell r="AW42">
            <v>-4.5474735088646412E-13</v>
          </cell>
        </row>
        <row r="43">
          <cell r="A43" t="str">
            <v>203/0</v>
          </cell>
          <cell r="AV43">
            <v>22161.479999999996</v>
          </cell>
          <cell r="AW43">
            <v>0</v>
          </cell>
        </row>
        <row r="44">
          <cell r="A44" t="str">
            <v>203/01</v>
          </cell>
          <cell r="AV44">
            <v>1940.0100000000002</v>
          </cell>
          <cell r="AW44">
            <v>0</v>
          </cell>
        </row>
        <row r="45">
          <cell r="A45" t="str">
            <v>207/0</v>
          </cell>
          <cell r="AV45">
            <v>0</v>
          </cell>
          <cell r="AW45">
            <v>0</v>
          </cell>
        </row>
        <row r="46">
          <cell r="A46" t="str">
            <v>207/01</v>
          </cell>
          <cell r="AV46">
            <v>4168.5900000000011</v>
          </cell>
          <cell r="AW46">
            <v>0</v>
          </cell>
        </row>
        <row r="47">
          <cell r="A47" t="str">
            <v>207/1</v>
          </cell>
          <cell r="AV47">
            <v>0</v>
          </cell>
          <cell r="AW47">
            <v>0</v>
          </cell>
        </row>
        <row r="48">
          <cell r="A48" t="str">
            <v>207/11</v>
          </cell>
          <cell r="AV48">
            <v>13015.990000000002</v>
          </cell>
          <cell r="AW48">
            <v>0</v>
          </cell>
        </row>
        <row r="49">
          <cell r="A49">
            <v>204</v>
          </cell>
          <cell r="AV49">
            <v>0</v>
          </cell>
          <cell r="AW49">
            <v>0</v>
          </cell>
        </row>
        <row r="50">
          <cell r="A50" t="str">
            <v>209/1</v>
          </cell>
          <cell r="AV50">
            <v>0</v>
          </cell>
          <cell r="AW50">
            <v>0</v>
          </cell>
        </row>
        <row r="51">
          <cell r="A51" t="str">
            <v>209/11</v>
          </cell>
          <cell r="AV51">
            <v>65.69</v>
          </cell>
          <cell r="AW51">
            <v>0</v>
          </cell>
        </row>
        <row r="52">
          <cell r="A52" t="str">
            <v>221/0</v>
          </cell>
          <cell r="AV52">
            <v>9845.2700000000023</v>
          </cell>
          <cell r="AW52">
            <v>0</v>
          </cell>
        </row>
        <row r="53">
          <cell r="A53" t="str">
            <v>221/01</v>
          </cell>
          <cell r="AV53">
            <v>63336.310000000041</v>
          </cell>
          <cell r="AW53">
            <v>0</v>
          </cell>
        </row>
        <row r="54">
          <cell r="A54" t="str">
            <v>221/1</v>
          </cell>
          <cell r="AV54">
            <v>0</v>
          </cell>
          <cell r="AW54">
            <v>0</v>
          </cell>
        </row>
        <row r="55">
          <cell r="A55" t="str">
            <v>221/11</v>
          </cell>
          <cell r="AV55">
            <v>58743.96</v>
          </cell>
          <cell r="AW55">
            <v>0</v>
          </cell>
        </row>
        <row r="56">
          <cell r="A56" t="str">
            <v>631/01</v>
          </cell>
          <cell r="AV56">
            <v>0</v>
          </cell>
          <cell r="AW56">
            <v>-5.8207660913467407E-11</v>
          </cell>
        </row>
        <row r="57">
          <cell r="A57" t="str">
            <v>631/02</v>
          </cell>
          <cell r="AV57">
            <v>0</v>
          </cell>
          <cell r="AW57">
            <v>0</v>
          </cell>
        </row>
        <row r="58">
          <cell r="A58" t="str">
            <v>311/2</v>
          </cell>
          <cell r="AV58">
            <v>121973.34999999996</v>
          </cell>
          <cell r="AW58">
            <v>0</v>
          </cell>
        </row>
        <row r="59">
          <cell r="A59" t="str">
            <v>205/02 НСЗУ</v>
          </cell>
          <cell r="AV59">
            <v>17751.5</v>
          </cell>
          <cell r="AW59">
            <v>0</v>
          </cell>
        </row>
        <row r="60">
          <cell r="A60" t="str">
            <v>221/2</v>
          </cell>
          <cell r="AV60">
            <v>0</v>
          </cell>
          <cell r="AW60">
            <v>0</v>
          </cell>
        </row>
        <row r="61">
          <cell r="A61">
            <v>378</v>
          </cell>
          <cell r="AV61">
            <v>39947.009999999937</v>
          </cell>
          <cell r="AW61">
            <v>0</v>
          </cell>
        </row>
        <row r="62">
          <cell r="A62">
            <v>375</v>
          </cell>
          <cell r="AV62">
            <v>0</v>
          </cell>
          <cell r="AW62">
            <v>0</v>
          </cell>
        </row>
        <row r="63">
          <cell r="A63">
            <v>372</v>
          </cell>
          <cell r="AV63">
            <v>0</v>
          </cell>
          <cell r="AW63">
            <v>0</v>
          </cell>
        </row>
        <row r="64">
          <cell r="A64" t="str">
            <v>377/0</v>
          </cell>
          <cell r="AV64">
            <v>0</v>
          </cell>
          <cell r="AW64">
            <v>0</v>
          </cell>
        </row>
        <row r="65">
          <cell r="A65">
            <v>301</v>
          </cell>
          <cell r="AV65">
            <v>0</v>
          </cell>
          <cell r="AW65">
            <v>-3.637978807091713E-12</v>
          </cell>
        </row>
        <row r="66">
          <cell r="A66">
            <v>331</v>
          </cell>
          <cell r="AV66">
            <v>8379.8300000000017</v>
          </cell>
          <cell r="AW66">
            <v>0</v>
          </cell>
        </row>
        <row r="67">
          <cell r="A67" t="str">
            <v>205/2 НСЗУ</v>
          </cell>
          <cell r="AV67">
            <v>0</v>
          </cell>
          <cell r="AW67">
            <v>0</v>
          </cell>
        </row>
        <row r="68">
          <cell r="A68">
            <v>903</v>
          </cell>
          <cell r="AV68">
            <v>0</v>
          </cell>
          <cell r="AW68">
            <v>0</v>
          </cell>
        </row>
        <row r="69">
          <cell r="A69">
            <v>311</v>
          </cell>
          <cell r="AV69">
            <v>0</v>
          </cell>
          <cell r="AW69">
            <v>-2.3283064365386963E-10</v>
          </cell>
        </row>
        <row r="70">
          <cell r="A70" t="str">
            <v>315/1</v>
          </cell>
          <cell r="AV70">
            <v>0</v>
          </cell>
          <cell r="AW70">
            <v>0</v>
          </cell>
        </row>
        <row r="71">
          <cell r="A71" t="str">
            <v>377/1</v>
          </cell>
          <cell r="AV71">
            <v>0</v>
          </cell>
          <cell r="AW71">
            <v>0</v>
          </cell>
        </row>
        <row r="72">
          <cell r="A72" t="str">
            <v>201/17</v>
          </cell>
          <cell r="AV72">
            <v>48080.42</v>
          </cell>
          <cell r="AW72">
            <v>0</v>
          </cell>
        </row>
        <row r="73">
          <cell r="A73" t="str">
            <v>205/2</v>
          </cell>
          <cell r="AV73">
            <v>0</v>
          </cell>
          <cell r="AW73">
            <v>0</v>
          </cell>
        </row>
        <row r="74">
          <cell r="A74">
            <v>401</v>
          </cell>
          <cell r="AV74">
            <v>0</v>
          </cell>
          <cell r="AW74">
            <v>-7500</v>
          </cell>
        </row>
        <row r="75">
          <cell r="A75" t="str">
            <v>483/2</v>
          </cell>
          <cell r="AV75">
            <v>0</v>
          </cell>
          <cell r="AW75">
            <v>-58221.82</v>
          </cell>
        </row>
        <row r="76">
          <cell r="A76" t="str">
            <v>483/1</v>
          </cell>
          <cell r="AV76">
            <v>0</v>
          </cell>
          <cell r="AW76">
            <v>-4305</v>
          </cell>
        </row>
        <row r="77">
          <cell r="A77" t="str">
            <v>483/0</v>
          </cell>
          <cell r="AV77">
            <v>0</v>
          </cell>
          <cell r="AW77">
            <v>-2403284.8000000003</v>
          </cell>
        </row>
        <row r="78">
          <cell r="A78">
            <v>482</v>
          </cell>
          <cell r="AV78">
            <v>0</v>
          </cell>
          <cell r="AW78">
            <v>-4863</v>
          </cell>
        </row>
        <row r="79">
          <cell r="A79">
            <v>791</v>
          </cell>
          <cell r="AR79">
            <v>15354470.370000001</v>
          </cell>
          <cell r="AV79">
            <v>9.3132257461547852E-9</v>
          </cell>
          <cell r="AW79">
            <v>0</v>
          </cell>
        </row>
        <row r="80">
          <cell r="A80">
            <v>441</v>
          </cell>
          <cell r="AR80">
            <v>323017.17000000016</v>
          </cell>
          <cell r="AV80">
            <v>0</v>
          </cell>
          <cell r="AW80">
            <v>-9797323.4799999986</v>
          </cell>
        </row>
        <row r="81">
          <cell r="A81">
            <v>790</v>
          </cell>
          <cell r="AV81">
            <v>0</v>
          </cell>
          <cell r="AW81">
            <v>0</v>
          </cell>
        </row>
        <row r="82">
          <cell r="A82">
            <v>685</v>
          </cell>
          <cell r="AV82">
            <v>0</v>
          </cell>
          <cell r="AW82">
            <v>0</v>
          </cell>
        </row>
        <row r="83">
          <cell r="A83">
            <v>641</v>
          </cell>
          <cell r="AV83">
            <v>0</v>
          </cell>
          <cell r="AW83">
            <v>-7190.4700000002049</v>
          </cell>
        </row>
        <row r="84">
          <cell r="A84">
            <v>642</v>
          </cell>
          <cell r="AV84">
            <v>0</v>
          </cell>
          <cell r="AW84">
            <v>-599.19999999993161</v>
          </cell>
        </row>
        <row r="85">
          <cell r="A85">
            <v>651</v>
          </cell>
          <cell r="AV85">
            <v>5.8207660913467407E-10</v>
          </cell>
          <cell r="AW85">
            <v>0</v>
          </cell>
        </row>
        <row r="86">
          <cell r="A86" t="str">
            <v>651А</v>
          </cell>
          <cell r="AV86">
            <v>6.8394001573324203E-10</v>
          </cell>
          <cell r="AW86">
            <v>0</v>
          </cell>
        </row>
        <row r="87">
          <cell r="A87">
            <v>662</v>
          </cell>
          <cell r="AV87">
            <v>0</v>
          </cell>
          <cell r="AW87">
            <v>0</v>
          </cell>
        </row>
        <row r="88">
          <cell r="A88">
            <v>661</v>
          </cell>
          <cell r="AV88">
            <v>4.6566128730773926E-10</v>
          </cell>
          <cell r="AW88">
            <v>0</v>
          </cell>
        </row>
        <row r="89">
          <cell r="A89" t="str">
            <v>685/2</v>
          </cell>
          <cell r="AV89">
            <v>0</v>
          </cell>
          <cell r="AW89">
            <v>0</v>
          </cell>
        </row>
        <row r="90">
          <cell r="A90" t="str">
            <v>685/3</v>
          </cell>
          <cell r="AV90">
            <v>0</v>
          </cell>
          <cell r="AW90">
            <v>0</v>
          </cell>
        </row>
        <row r="91">
          <cell r="A91" t="str">
            <v>484/0</v>
          </cell>
          <cell r="AV91">
            <v>0</v>
          </cell>
          <cell r="AW91">
            <v>-12253704.920000004</v>
          </cell>
        </row>
        <row r="92">
          <cell r="A92" t="str">
            <v>482/0</v>
          </cell>
          <cell r="AR92">
            <v>765616.58000000007</v>
          </cell>
          <cell r="AV92">
            <v>0</v>
          </cell>
          <cell r="AW92">
            <v>-676473.1399999999</v>
          </cell>
        </row>
        <row r="93">
          <cell r="A93">
            <v>442</v>
          </cell>
          <cell r="AV93">
            <v>0</v>
          </cell>
          <cell r="AW93">
            <v>0</v>
          </cell>
        </row>
        <row r="94">
          <cell r="A94">
            <v>719</v>
          </cell>
          <cell r="AV94">
            <v>0</v>
          </cell>
          <cell r="AW94">
            <v>0</v>
          </cell>
        </row>
        <row r="95">
          <cell r="A95">
            <v>718</v>
          </cell>
          <cell r="AR95">
            <v>364202.4</v>
          </cell>
          <cell r="AV95">
            <v>0</v>
          </cell>
          <cell r="AW95">
            <v>0</v>
          </cell>
        </row>
        <row r="96">
          <cell r="A96" t="str">
            <v>718/0</v>
          </cell>
          <cell r="AR96">
            <v>2556842.42</v>
          </cell>
          <cell r="AV96">
            <v>0</v>
          </cell>
          <cell r="AW96">
            <v>0</v>
          </cell>
        </row>
        <row r="97">
          <cell r="A97">
            <v>910</v>
          </cell>
          <cell r="AV97">
            <v>0</v>
          </cell>
          <cell r="AW97">
            <v>0</v>
          </cell>
        </row>
        <row r="98">
          <cell r="A98">
            <v>930</v>
          </cell>
          <cell r="AV98">
            <v>0</v>
          </cell>
          <cell r="AW98">
            <v>0</v>
          </cell>
        </row>
        <row r="99">
          <cell r="A99">
            <v>940</v>
          </cell>
          <cell r="AV99">
            <v>0</v>
          </cell>
          <cell r="AW99">
            <v>0</v>
          </cell>
        </row>
        <row r="100">
          <cell r="A100">
            <v>230</v>
          </cell>
          <cell r="AV100">
            <v>0</v>
          </cell>
          <cell r="AW100">
            <v>0</v>
          </cell>
        </row>
        <row r="101">
          <cell r="A101" t="str">
            <v>920/0</v>
          </cell>
          <cell r="AV101">
            <v>0</v>
          </cell>
          <cell r="AW101">
            <v>0</v>
          </cell>
        </row>
        <row r="102">
          <cell r="A102" t="str">
            <v>207/2</v>
          </cell>
          <cell r="AV102">
            <v>0</v>
          </cell>
          <cell r="AW102">
            <v>0</v>
          </cell>
        </row>
        <row r="103">
          <cell r="A103">
            <v>948</v>
          </cell>
          <cell r="AV103">
            <v>0</v>
          </cell>
          <cell r="AW103">
            <v>0</v>
          </cell>
        </row>
        <row r="104">
          <cell r="A104">
            <v>69</v>
          </cell>
          <cell r="AV104">
            <v>0</v>
          </cell>
          <cell r="AW104">
            <v>-2063031.06</v>
          </cell>
        </row>
        <row r="105">
          <cell r="A105">
            <v>425</v>
          </cell>
          <cell r="AV105">
            <v>0</v>
          </cell>
          <cell r="AW105">
            <v>0</v>
          </cell>
        </row>
        <row r="106">
          <cell r="A106" t="str">
            <v>203/11</v>
          </cell>
          <cell r="AV106">
            <v>0</v>
          </cell>
          <cell r="AW106">
            <v>0</v>
          </cell>
        </row>
        <row r="107">
          <cell r="A107">
            <v>631</v>
          </cell>
          <cell r="AV107">
            <v>0</v>
          </cell>
          <cell r="AW107">
            <v>0</v>
          </cell>
        </row>
        <row r="108">
          <cell r="A108" t="str">
            <v>377/1</v>
          </cell>
          <cell r="AV108">
            <v>0</v>
          </cell>
          <cell r="AW108">
            <v>0</v>
          </cell>
        </row>
        <row r="109">
          <cell r="A109" t="str">
            <v>201/20</v>
          </cell>
          <cell r="AV109">
            <v>252452.60000000003</v>
          </cell>
          <cell r="AW109">
            <v>0</v>
          </cell>
        </row>
        <row r="110">
          <cell r="A110" t="str">
            <v>377/15</v>
          </cell>
          <cell r="AV110">
            <v>0</v>
          </cell>
          <cell r="AW110">
            <v>0</v>
          </cell>
        </row>
        <row r="111">
          <cell r="A111" t="str">
            <v>201/13</v>
          </cell>
          <cell r="AV111">
            <v>4983.1699999999992</v>
          </cell>
          <cell r="AW111">
            <v>0</v>
          </cell>
        </row>
        <row r="112">
          <cell r="A112" t="str">
            <v>201/16</v>
          </cell>
          <cell r="AV112">
            <v>0</v>
          </cell>
          <cell r="AW112">
            <v>0</v>
          </cell>
        </row>
        <row r="113">
          <cell r="A113">
            <v>704</v>
          </cell>
          <cell r="AV113">
            <v>0</v>
          </cell>
          <cell r="AW113">
            <v>0</v>
          </cell>
        </row>
        <row r="114">
          <cell r="A114" t="str">
            <v>201/4</v>
          </cell>
          <cell r="AV114">
            <v>0</v>
          </cell>
          <cell r="AW114">
            <v>0</v>
          </cell>
        </row>
        <row r="115">
          <cell r="A115" t="str">
            <v>201/8</v>
          </cell>
          <cell r="AV115">
            <v>94754.72</v>
          </cell>
          <cell r="AW115">
            <v>0</v>
          </cell>
        </row>
        <row r="116">
          <cell r="A116" t="str">
            <v>201/9</v>
          </cell>
          <cell r="AV116">
            <v>10950</v>
          </cell>
          <cell r="AW116">
            <v>0</v>
          </cell>
        </row>
        <row r="117">
          <cell r="A117" t="str">
            <v>377/21</v>
          </cell>
          <cell r="AV117">
            <v>0</v>
          </cell>
          <cell r="AW117">
            <v>0</v>
          </cell>
        </row>
        <row r="118">
          <cell r="A118" t="str">
            <v>683/22</v>
          </cell>
          <cell r="AV118">
            <v>0</v>
          </cell>
          <cell r="AW118">
            <v>0</v>
          </cell>
        </row>
        <row r="119">
          <cell r="A119" t="str">
            <v>377/24</v>
          </cell>
          <cell r="AV119">
            <v>0</v>
          </cell>
          <cell r="AW119">
            <v>0</v>
          </cell>
        </row>
        <row r="120">
          <cell r="A120" t="str">
            <v>377/25</v>
          </cell>
          <cell r="AV120">
            <v>0</v>
          </cell>
          <cell r="AW120">
            <v>0</v>
          </cell>
        </row>
        <row r="121">
          <cell r="A121" t="str">
            <v>377/241</v>
          </cell>
          <cell r="AV121">
            <v>0</v>
          </cell>
          <cell r="AW121">
            <v>0</v>
          </cell>
        </row>
        <row r="122">
          <cell r="A122" t="str">
            <v>377/242</v>
          </cell>
          <cell r="AV122">
            <v>0</v>
          </cell>
          <cell r="AW122">
            <v>0</v>
          </cell>
        </row>
        <row r="123">
          <cell r="A123">
            <v>37714</v>
          </cell>
          <cell r="AV123">
            <v>0</v>
          </cell>
          <cell r="AW123">
            <v>0</v>
          </cell>
        </row>
        <row r="124">
          <cell r="A124" t="str">
            <v>644/1</v>
          </cell>
          <cell r="AV124">
            <v>0</v>
          </cell>
          <cell r="AW124">
            <v>0</v>
          </cell>
        </row>
        <row r="125">
          <cell r="A125" t="str">
            <v>641/7</v>
          </cell>
          <cell r="AV125">
            <v>0</v>
          </cell>
          <cell r="AW125">
            <v>0</v>
          </cell>
        </row>
        <row r="126">
          <cell r="A126" t="str">
            <v>643/1</v>
          </cell>
          <cell r="AV126">
            <v>0</v>
          </cell>
          <cell r="AW126">
            <v>0</v>
          </cell>
        </row>
        <row r="127">
          <cell r="A127" t="str">
            <v>949/0</v>
          </cell>
          <cell r="AR127">
            <v>29093.200000000001</v>
          </cell>
          <cell r="AV127">
            <v>0</v>
          </cell>
          <cell r="AW127">
            <v>0</v>
          </cell>
        </row>
        <row r="128">
          <cell r="A128" t="str">
            <v>311/1</v>
          </cell>
          <cell r="AV128">
            <v>9016158.8299999982</v>
          </cell>
          <cell r="AW128">
            <v>0</v>
          </cell>
        </row>
        <row r="129">
          <cell r="A129" t="str">
            <v>644/2</v>
          </cell>
          <cell r="AV129">
            <v>0</v>
          </cell>
          <cell r="AW129">
            <v>0</v>
          </cell>
        </row>
        <row r="130">
          <cell r="A130" t="str">
            <v>683/0</v>
          </cell>
          <cell r="AV130">
            <v>0</v>
          </cell>
          <cell r="AW130">
            <v>0</v>
          </cell>
        </row>
        <row r="131">
          <cell r="A131">
            <v>703</v>
          </cell>
          <cell r="AR131">
            <v>11818952.08</v>
          </cell>
          <cell r="AV131">
            <v>0</v>
          </cell>
          <cell r="AW131">
            <v>0</v>
          </cell>
        </row>
        <row r="132">
          <cell r="A132">
            <v>424</v>
          </cell>
          <cell r="AV132">
            <v>0</v>
          </cell>
          <cell r="AW132">
            <v>-3434220.7600000002</v>
          </cell>
        </row>
        <row r="133">
          <cell r="A133">
            <v>745</v>
          </cell>
          <cell r="AR133">
            <v>35476.839999999997</v>
          </cell>
          <cell r="AV133">
            <v>0</v>
          </cell>
          <cell r="AW133">
            <v>0</v>
          </cell>
        </row>
        <row r="134">
          <cell r="A134">
            <v>733</v>
          </cell>
          <cell r="AV134">
            <v>0</v>
          </cell>
          <cell r="AW134">
            <v>0</v>
          </cell>
        </row>
        <row r="135">
          <cell r="A135" t="str">
            <v>112/02</v>
          </cell>
          <cell r="AV135">
            <v>10599</v>
          </cell>
          <cell r="AW135">
            <v>0</v>
          </cell>
        </row>
        <row r="136">
          <cell r="A136">
            <v>663</v>
          </cell>
          <cell r="AV136">
            <v>0</v>
          </cell>
          <cell r="AW136">
            <v>-32157.339999999771</v>
          </cell>
        </row>
        <row r="137">
          <cell r="A137" t="str">
            <v>153/2</v>
          </cell>
          <cell r="AV137">
            <v>0</v>
          </cell>
          <cell r="AW137">
            <v>0</v>
          </cell>
        </row>
        <row r="138">
          <cell r="A138">
            <v>733</v>
          </cell>
          <cell r="AV138">
            <v>0</v>
          </cell>
          <cell r="AW138">
            <v>0</v>
          </cell>
        </row>
        <row r="139">
          <cell r="A139" t="str">
            <v>949/1</v>
          </cell>
          <cell r="AV139">
            <v>0</v>
          </cell>
          <cell r="AW139">
            <v>0</v>
          </cell>
        </row>
        <row r="140">
          <cell r="A140">
            <v>361</v>
          </cell>
          <cell r="AV140">
            <v>0</v>
          </cell>
          <cell r="AW140">
            <v>0</v>
          </cell>
        </row>
        <row r="141">
          <cell r="A141" t="str">
            <v>641ПДВ</v>
          </cell>
          <cell r="AV141">
            <v>0</v>
          </cell>
          <cell r="AW141">
            <v>0</v>
          </cell>
        </row>
        <row r="142">
          <cell r="A142" t="str">
            <v>949/2</v>
          </cell>
          <cell r="AV142">
            <v>0</v>
          </cell>
          <cell r="AW142">
            <v>0</v>
          </cell>
        </row>
        <row r="143">
          <cell r="A143" t="str">
            <v>703/1</v>
          </cell>
          <cell r="AV143">
            <v>0</v>
          </cell>
          <cell r="AW143">
            <v>0</v>
          </cell>
        </row>
        <row r="144">
          <cell r="A144" t="str">
            <v>482/1</v>
          </cell>
          <cell r="AV144">
            <v>0</v>
          </cell>
          <cell r="AW144">
            <v>0</v>
          </cell>
        </row>
        <row r="145">
          <cell r="A145" t="str">
            <v>311/3інт</v>
          </cell>
          <cell r="AV145">
            <v>0</v>
          </cell>
          <cell r="AW145">
            <v>0</v>
          </cell>
        </row>
        <row r="146">
          <cell r="A146" t="str">
            <v>311/4п.33</v>
          </cell>
          <cell r="AV146">
            <v>0</v>
          </cell>
          <cell r="AW146">
            <v>0</v>
          </cell>
        </row>
        <row r="147">
          <cell r="A147" t="str">
            <v>361/1</v>
          </cell>
          <cell r="AV147">
            <v>0</v>
          </cell>
          <cell r="AW147">
            <v>0</v>
          </cell>
        </row>
        <row r="148">
          <cell r="A148" t="str">
            <v>377 я</v>
          </cell>
          <cell r="AV148">
            <v>0</v>
          </cell>
          <cell r="AW148">
            <v>0</v>
          </cell>
        </row>
        <row r="149">
          <cell r="A149" t="str">
            <v>221/02</v>
          </cell>
          <cell r="AV149">
            <v>18551.68</v>
          </cell>
          <cell r="AW149">
            <v>0</v>
          </cell>
        </row>
        <row r="150">
          <cell r="A150" t="str">
            <v>207/02</v>
          </cell>
          <cell r="AV150">
            <v>4516</v>
          </cell>
          <cell r="AW150">
            <v>0</v>
          </cell>
        </row>
        <row r="153">
          <cell r="AW153">
            <v>-30694794.569999997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"/>
      <sheetName val="2дс"/>
      <sheetName val="Ф.2.ЗВЕД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ЗВЕД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19">
          <cell r="G19">
            <v>11541838</v>
          </cell>
        </row>
        <row r="20">
          <cell r="G20">
            <v>2019616.75</v>
          </cell>
        </row>
        <row r="21">
          <cell r="G21">
            <v>0</v>
          </cell>
        </row>
        <row r="22">
          <cell r="G22">
            <v>0</v>
          </cell>
        </row>
        <row r="35">
          <cell r="G35">
            <v>12492301</v>
          </cell>
        </row>
        <row r="36">
          <cell r="G36">
            <v>2711</v>
          </cell>
        </row>
        <row r="43">
          <cell r="G43">
            <v>812659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"/>
      <sheetName val="2дс"/>
      <sheetName val="Ф.2.ЗВЕД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ЗВЕД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19">
          <cell r="G19">
            <v>20456801</v>
          </cell>
        </row>
        <row r="20">
          <cell r="G20">
            <v>392722.19</v>
          </cell>
        </row>
        <row r="21">
          <cell r="G21">
            <v>0</v>
          </cell>
        </row>
        <row r="22">
          <cell r="G2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"/>
      <sheetName val="2дс"/>
      <sheetName val="Ф.2.ЗВЕД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ЗВЕД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9">
          <cell r="G19">
            <v>25071938</v>
          </cell>
        </row>
        <row r="20">
          <cell r="G20">
            <v>1160102.81</v>
          </cell>
        </row>
        <row r="30">
          <cell r="G30">
            <v>10463903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Ь"/>
      <sheetName val="1дс_баланс"/>
      <sheetName val="2дс"/>
      <sheetName val="Ф.2.ЗВЕД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ЗВЕД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19">
          <cell r="G19">
            <v>25780836</v>
          </cell>
        </row>
        <row r="20">
          <cell r="G20">
            <v>2230297.04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240" t="s">
        <v>125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</row>
    <row r="2" spans="1:41" ht="5.25" customHeight="1"/>
    <row r="3" spans="1:41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</row>
    <row r="4" spans="1:41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284" t="s">
        <v>1</v>
      </c>
      <c r="AI5" s="284"/>
      <c r="AJ5" s="284"/>
      <c r="AK5" s="284"/>
      <c r="AL5" s="284"/>
      <c r="AM5" s="284"/>
      <c r="AN5" s="284"/>
      <c r="AO5" s="284"/>
    </row>
    <row r="6" spans="1:41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4"/>
      <c r="AH6" s="284"/>
      <c r="AI6" s="284"/>
      <c r="AJ6" s="284"/>
      <c r="AK6" s="284"/>
      <c r="AL6" s="284"/>
      <c r="AM6" s="257" t="s">
        <v>77</v>
      </c>
      <c r="AN6" s="258"/>
      <c r="AO6" s="259"/>
    </row>
    <row r="7" spans="1:41" ht="15" customHeight="1">
      <c r="A7" s="285" t="s">
        <v>3</v>
      </c>
      <c r="B7" s="285"/>
      <c r="C7" s="285"/>
      <c r="D7" s="285"/>
      <c r="E7" s="285"/>
      <c r="F7" s="28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247" t="s">
        <v>4</v>
      </c>
      <c r="AC7" s="247"/>
      <c r="AD7" s="247"/>
      <c r="AE7" s="247"/>
      <c r="AF7" s="247"/>
      <c r="AG7" s="247"/>
      <c r="AH7" s="257"/>
      <c r="AI7" s="258"/>
      <c r="AJ7" s="258"/>
      <c r="AK7" s="258"/>
      <c r="AL7" s="258"/>
      <c r="AM7" s="258"/>
      <c r="AN7" s="258"/>
      <c r="AO7" s="259"/>
    </row>
    <row r="8" spans="1:41" ht="12.75" customHeight="1">
      <c r="A8" s="285" t="s">
        <v>5</v>
      </c>
      <c r="B8" s="285"/>
      <c r="C8" s="285"/>
      <c r="D8" s="28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247" t="s">
        <v>6</v>
      </c>
      <c r="AC8" s="247"/>
      <c r="AD8" s="247"/>
      <c r="AE8" s="247"/>
      <c r="AF8" s="247"/>
      <c r="AG8" s="247"/>
      <c r="AH8" s="284"/>
      <c r="AI8" s="284"/>
      <c r="AJ8" s="284"/>
      <c r="AK8" s="284"/>
      <c r="AL8" s="284"/>
      <c r="AM8" s="284"/>
      <c r="AN8" s="284"/>
      <c r="AO8" s="284"/>
    </row>
    <row r="9" spans="1:41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247" t="s">
        <v>7</v>
      </c>
      <c r="AC9" s="247"/>
      <c r="AD9" s="247"/>
      <c r="AE9" s="247"/>
      <c r="AF9" s="247"/>
      <c r="AG9" s="247"/>
      <c r="AH9" s="284"/>
      <c r="AI9" s="284"/>
      <c r="AJ9" s="284"/>
      <c r="AK9" s="284"/>
      <c r="AL9" s="284"/>
      <c r="AM9" s="284"/>
      <c r="AN9" s="284"/>
      <c r="AO9" s="284"/>
    </row>
    <row r="10" spans="1:41" ht="15.75" customHeight="1">
      <c r="A10" s="285" t="s">
        <v>8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247" t="s">
        <v>9</v>
      </c>
      <c r="AC10" s="247"/>
      <c r="AD10" s="247"/>
      <c r="AE10" s="247"/>
      <c r="AF10" s="247"/>
      <c r="AG10" s="247"/>
      <c r="AH10" s="284"/>
      <c r="AI10" s="284"/>
      <c r="AJ10" s="284"/>
      <c r="AK10" s="284"/>
      <c r="AL10" s="284"/>
      <c r="AM10" s="284"/>
      <c r="AN10" s="284"/>
      <c r="AO10" s="284"/>
    </row>
    <row r="11" spans="1:41" ht="15.75" customHeight="1">
      <c r="A11" s="285" t="s">
        <v>10</v>
      </c>
      <c r="B11" s="285"/>
      <c r="C11" s="285"/>
      <c r="D11" s="285"/>
      <c r="E11" s="285"/>
      <c r="F11" s="285"/>
      <c r="G11" s="285"/>
      <c r="H11" s="285"/>
      <c r="I11" s="285"/>
      <c r="J11" s="28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247" t="s">
        <v>11</v>
      </c>
      <c r="AC11" s="247"/>
      <c r="AD11" s="247"/>
      <c r="AE11" s="247"/>
      <c r="AF11" s="247"/>
      <c r="AG11" s="247"/>
      <c r="AH11" s="284"/>
      <c r="AI11" s="284"/>
      <c r="AJ11" s="284"/>
      <c r="AK11" s="284"/>
      <c r="AL11" s="284"/>
      <c r="AM11" s="284"/>
      <c r="AN11" s="284"/>
      <c r="AO11" s="284"/>
    </row>
    <row r="12" spans="1:41" ht="13.5" customHeight="1">
      <c r="A12" s="285" t="s">
        <v>12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7"/>
      <c r="AC12" s="11"/>
      <c r="AD12" s="11"/>
      <c r="AE12" s="11"/>
      <c r="AF12" s="11"/>
    </row>
    <row r="13" spans="1:41" ht="13.5" customHeight="1">
      <c r="A13" s="285" t="s">
        <v>13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247" t="s">
        <v>14</v>
      </c>
      <c r="B14" s="247"/>
      <c r="C14" s="2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>
      <c r="C15" s="12"/>
      <c r="D15" s="12"/>
      <c r="E15" s="12"/>
      <c r="F15" s="12"/>
      <c r="L15" s="5"/>
    </row>
    <row r="16" spans="1:41" ht="15" customHeight="1">
      <c r="A16" s="260" t="s">
        <v>15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 t="s">
        <v>80</v>
      </c>
      <c r="U16" s="260"/>
      <c r="V16" s="260"/>
      <c r="W16" s="260"/>
      <c r="X16" s="260"/>
      <c r="Y16" s="260"/>
      <c r="Z16" s="256" t="s">
        <v>79</v>
      </c>
      <c r="AA16" s="256"/>
      <c r="AB16" s="256"/>
      <c r="AC16" s="256"/>
      <c r="AD16" s="256"/>
      <c r="AE16" s="256"/>
      <c r="AF16" s="256"/>
      <c r="AG16" s="288"/>
      <c r="AH16" s="257">
        <v>1801006</v>
      </c>
      <c r="AI16" s="258"/>
      <c r="AJ16" s="258"/>
      <c r="AK16" s="258"/>
      <c r="AL16" s="258"/>
      <c r="AM16" s="258"/>
      <c r="AN16" s="258"/>
      <c r="AO16" s="259"/>
    </row>
    <row r="17" spans="1:41" ht="10.5" customHeight="1">
      <c r="A17" s="289" t="s">
        <v>17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</row>
    <row r="18" spans="1:41" ht="7.5" customHeight="1">
      <c r="G18" s="15"/>
      <c r="H18" s="15"/>
      <c r="L18" s="5"/>
    </row>
    <row r="19" spans="1:41" ht="30.75" customHeight="1">
      <c r="A19" s="273" t="s">
        <v>18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86" t="s">
        <v>19</v>
      </c>
      <c r="W19" s="286"/>
      <c r="X19" s="286"/>
      <c r="Y19" s="286"/>
      <c r="Z19" s="273" t="s">
        <v>20</v>
      </c>
      <c r="AA19" s="273"/>
      <c r="AB19" s="273"/>
      <c r="AC19" s="273"/>
      <c r="AD19" s="273"/>
      <c r="AE19" s="273"/>
      <c r="AF19" s="273"/>
      <c r="AG19" s="273"/>
      <c r="AH19" s="273" t="s">
        <v>78</v>
      </c>
      <c r="AI19" s="273"/>
      <c r="AJ19" s="273"/>
      <c r="AK19" s="273"/>
      <c r="AL19" s="273"/>
      <c r="AM19" s="273"/>
      <c r="AN19" s="273"/>
      <c r="AO19" s="273"/>
    </row>
    <row r="20" spans="1:41" ht="15" customHeight="1">
      <c r="A20" s="269">
        <v>1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1"/>
      <c r="V20" s="281" t="s">
        <v>95</v>
      </c>
      <c r="W20" s="281"/>
      <c r="X20" s="281"/>
      <c r="Y20" s="281"/>
      <c r="Z20" s="284">
        <v>3</v>
      </c>
      <c r="AA20" s="284"/>
      <c r="AB20" s="284"/>
      <c r="AC20" s="284"/>
      <c r="AD20" s="284"/>
      <c r="AE20" s="284"/>
      <c r="AF20" s="284"/>
      <c r="AG20" s="284"/>
      <c r="AH20" s="284">
        <v>4</v>
      </c>
      <c r="AI20" s="284"/>
      <c r="AJ20" s="284"/>
      <c r="AK20" s="284"/>
      <c r="AL20" s="284"/>
      <c r="AM20" s="284"/>
      <c r="AN20" s="284"/>
      <c r="AO20" s="284"/>
    </row>
    <row r="21" spans="1:41" ht="14.25" customHeight="1">
      <c r="A21" s="282" t="s">
        <v>21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1"/>
      <c r="W21" s="281"/>
      <c r="X21" s="281"/>
      <c r="Y21" s="281"/>
      <c r="Z21" s="278"/>
      <c r="AA21" s="278"/>
      <c r="AB21" s="278"/>
      <c r="AC21" s="278"/>
      <c r="AD21" s="278"/>
      <c r="AE21" s="278"/>
      <c r="AF21" s="278"/>
      <c r="AG21" s="278"/>
      <c r="AH21" s="279"/>
      <c r="AI21" s="279"/>
      <c r="AJ21" s="279"/>
      <c r="AK21" s="279"/>
      <c r="AL21" s="279"/>
      <c r="AM21" s="279"/>
      <c r="AN21" s="279"/>
      <c r="AO21" s="279"/>
    </row>
    <row r="22" spans="1:41" ht="15" customHeight="1">
      <c r="A22" s="280" t="s">
        <v>22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1" t="s">
        <v>96</v>
      </c>
      <c r="W22" s="281"/>
      <c r="X22" s="281"/>
      <c r="Y22" s="281"/>
      <c r="Z22" s="278"/>
      <c r="AA22" s="278"/>
      <c r="AB22" s="278"/>
      <c r="AC22" s="278"/>
      <c r="AD22" s="278"/>
      <c r="AE22" s="278"/>
      <c r="AF22" s="278"/>
      <c r="AG22" s="278"/>
      <c r="AH22" s="279"/>
      <c r="AI22" s="279"/>
      <c r="AJ22" s="279"/>
      <c r="AK22" s="279"/>
      <c r="AL22" s="279"/>
      <c r="AM22" s="279"/>
      <c r="AN22" s="279"/>
      <c r="AO22" s="279"/>
    </row>
    <row r="23" spans="1:41" ht="15" customHeight="1">
      <c r="A23" s="280" t="s">
        <v>23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  <c r="W23" s="281"/>
      <c r="X23" s="281"/>
      <c r="Y23" s="281"/>
      <c r="Z23" s="278"/>
      <c r="AA23" s="278"/>
      <c r="AB23" s="278"/>
      <c r="AC23" s="278"/>
      <c r="AD23" s="278"/>
      <c r="AE23" s="278"/>
      <c r="AF23" s="278"/>
      <c r="AG23" s="278"/>
      <c r="AH23" s="279"/>
      <c r="AI23" s="279"/>
      <c r="AJ23" s="279"/>
      <c r="AK23" s="279"/>
      <c r="AL23" s="279"/>
      <c r="AM23" s="279"/>
      <c r="AN23" s="279"/>
      <c r="AO23" s="279"/>
    </row>
    <row r="24" spans="1:41" ht="15" customHeight="1">
      <c r="A24" s="280" t="s">
        <v>81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1" t="s">
        <v>97</v>
      </c>
      <c r="W24" s="281"/>
      <c r="X24" s="281"/>
      <c r="Y24" s="281"/>
      <c r="Z24" s="278"/>
      <c r="AA24" s="278"/>
      <c r="AB24" s="278"/>
      <c r="AC24" s="278"/>
      <c r="AD24" s="278"/>
      <c r="AE24" s="278"/>
      <c r="AF24" s="278"/>
      <c r="AG24" s="278"/>
      <c r="AH24" s="279"/>
      <c r="AI24" s="279"/>
      <c r="AJ24" s="279"/>
      <c r="AK24" s="279"/>
      <c r="AL24" s="279"/>
      <c r="AM24" s="279"/>
      <c r="AN24" s="279"/>
      <c r="AO24" s="279"/>
    </row>
    <row r="25" spans="1:41" ht="15" customHeight="1">
      <c r="A25" s="280" t="s">
        <v>82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1" t="s">
        <v>98</v>
      </c>
      <c r="W25" s="281"/>
      <c r="X25" s="281"/>
      <c r="Y25" s="281"/>
      <c r="Z25" s="278"/>
      <c r="AA25" s="278"/>
      <c r="AB25" s="278"/>
      <c r="AC25" s="278"/>
      <c r="AD25" s="278"/>
      <c r="AE25" s="278"/>
      <c r="AF25" s="278"/>
      <c r="AG25" s="278"/>
      <c r="AH25" s="279"/>
      <c r="AI25" s="279"/>
      <c r="AJ25" s="279"/>
      <c r="AK25" s="279"/>
      <c r="AL25" s="279"/>
      <c r="AM25" s="279"/>
      <c r="AN25" s="279"/>
      <c r="AO25" s="279"/>
    </row>
    <row r="26" spans="1:41" ht="15" customHeight="1">
      <c r="A26" s="280" t="s">
        <v>83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1" t="s">
        <v>99</v>
      </c>
      <c r="W26" s="281"/>
      <c r="X26" s="281"/>
      <c r="Y26" s="281"/>
      <c r="Z26" s="253" t="s">
        <v>117</v>
      </c>
      <c r="AA26" s="254"/>
      <c r="AB26" s="254"/>
      <c r="AC26" s="254"/>
      <c r="AD26" s="254"/>
      <c r="AE26" s="254"/>
      <c r="AF26" s="254"/>
      <c r="AG26" s="255"/>
      <c r="AH26" s="253" t="s">
        <v>118</v>
      </c>
      <c r="AI26" s="254"/>
      <c r="AJ26" s="254"/>
      <c r="AK26" s="254"/>
      <c r="AL26" s="254"/>
      <c r="AM26" s="254"/>
      <c r="AN26" s="254"/>
      <c r="AO26" s="255"/>
    </row>
    <row r="27" spans="1:41" ht="15" customHeight="1">
      <c r="A27" s="280" t="s">
        <v>25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1"/>
      <c r="W27" s="281"/>
      <c r="X27" s="281"/>
      <c r="Y27" s="281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  <c r="AO27" s="279"/>
    </row>
    <row r="28" spans="1:41" ht="15" customHeight="1">
      <c r="A28" s="280" t="s">
        <v>26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1" t="s">
        <v>100</v>
      </c>
      <c r="W28" s="281"/>
      <c r="X28" s="281"/>
      <c r="Y28" s="281"/>
      <c r="Z28" s="278"/>
      <c r="AA28" s="278"/>
      <c r="AB28" s="278"/>
      <c r="AC28" s="278"/>
      <c r="AD28" s="278"/>
      <c r="AE28" s="278"/>
      <c r="AF28" s="278"/>
      <c r="AG28" s="278"/>
      <c r="AH28" s="279"/>
      <c r="AI28" s="279"/>
      <c r="AJ28" s="279"/>
      <c r="AK28" s="279"/>
      <c r="AL28" s="279"/>
      <c r="AM28" s="279"/>
      <c r="AN28" s="279"/>
      <c r="AO28" s="279"/>
    </row>
    <row r="29" spans="1:41" ht="15" customHeight="1">
      <c r="A29" s="280" t="s">
        <v>24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1" t="s">
        <v>101</v>
      </c>
      <c r="W29" s="281"/>
      <c r="X29" s="281"/>
      <c r="Y29" s="281"/>
      <c r="Z29" s="278"/>
      <c r="AA29" s="278"/>
      <c r="AB29" s="278"/>
      <c r="AC29" s="278"/>
      <c r="AD29" s="278"/>
      <c r="AE29" s="278"/>
      <c r="AF29" s="278"/>
      <c r="AG29" s="278"/>
      <c r="AH29" s="279"/>
      <c r="AI29" s="279"/>
      <c r="AJ29" s="279"/>
      <c r="AK29" s="279"/>
      <c r="AL29" s="279"/>
      <c r="AM29" s="279"/>
      <c r="AN29" s="279"/>
      <c r="AO29" s="279"/>
    </row>
    <row r="30" spans="1:41" ht="15" customHeight="1">
      <c r="A30" s="280" t="s">
        <v>27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1" t="s">
        <v>102</v>
      </c>
      <c r="W30" s="281"/>
      <c r="X30" s="281"/>
      <c r="Y30" s="281"/>
      <c r="Z30" s="253" t="s">
        <v>117</v>
      </c>
      <c r="AA30" s="254"/>
      <c r="AB30" s="254"/>
      <c r="AC30" s="254"/>
      <c r="AD30" s="254"/>
      <c r="AE30" s="254"/>
      <c r="AF30" s="254"/>
      <c r="AG30" s="255"/>
      <c r="AH30" s="253" t="s">
        <v>118</v>
      </c>
      <c r="AI30" s="254"/>
      <c r="AJ30" s="254"/>
      <c r="AK30" s="254"/>
      <c r="AL30" s="254"/>
      <c r="AM30" s="254"/>
      <c r="AN30" s="254"/>
      <c r="AO30" s="255"/>
    </row>
    <row r="31" spans="1:41" ht="15" customHeight="1">
      <c r="A31" s="280" t="s">
        <v>28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1" t="s">
        <v>103</v>
      </c>
      <c r="W31" s="281"/>
      <c r="X31" s="281"/>
      <c r="Y31" s="281"/>
      <c r="Z31" s="278"/>
      <c r="AA31" s="278"/>
      <c r="AB31" s="278"/>
      <c r="AC31" s="278"/>
      <c r="AD31" s="278"/>
      <c r="AE31" s="278"/>
      <c r="AF31" s="278"/>
      <c r="AG31" s="278"/>
      <c r="AH31" s="279"/>
      <c r="AI31" s="279"/>
      <c r="AJ31" s="279"/>
      <c r="AK31" s="279"/>
      <c r="AL31" s="279"/>
      <c r="AM31" s="279"/>
      <c r="AN31" s="279"/>
      <c r="AO31" s="279"/>
    </row>
    <row r="32" spans="1:41" ht="15" customHeight="1">
      <c r="A32" s="280" t="s">
        <v>29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1" t="s">
        <v>104</v>
      </c>
      <c r="W32" s="281"/>
      <c r="X32" s="281"/>
      <c r="Y32" s="281"/>
      <c r="Z32" s="278"/>
      <c r="AA32" s="278"/>
      <c r="AB32" s="278"/>
      <c r="AC32" s="278"/>
      <c r="AD32" s="278"/>
      <c r="AE32" s="278"/>
      <c r="AF32" s="278"/>
      <c r="AG32" s="278"/>
      <c r="AH32" s="279"/>
      <c r="AI32" s="279"/>
      <c r="AJ32" s="279"/>
      <c r="AK32" s="279"/>
      <c r="AL32" s="279"/>
      <c r="AM32" s="279"/>
      <c r="AN32" s="279"/>
      <c r="AO32" s="279"/>
    </row>
    <row r="33" spans="1:41" ht="15" customHeight="1">
      <c r="A33" s="282" t="s">
        <v>30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3" t="s">
        <v>105</v>
      </c>
      <c r="W33" s="283"/>
      <c r="X33" s="283"/>
      <c r="Y33" s="283"/>
      <c r="Z33" s="278"/>
      <c r="AA33" s="278"/>
      <c r="AB33" s="278"/>
      <c r="AC33" s="278"/>
      <c r="AD33" s="278"/>
      <c r="AE33" s="278"/>
      <c r="AF33" s="278"/>
      <c r="AG33" s="278"/>
      <c r="AH33" s="279"/>
      <c r="AI33" s="279"/>
      <c r="AJ33" s="279"/>
      <c r="AK33" s="279"/>
      <c r="AL33" s="279"/>
      <c r="AM33" s="279"/>
      <c r="AN33" s="279"/>
      <c r="AO33" s="279"/>
    </row>
    <row r="34" spans="1:41" ht="15" customHeight="1">
      <c r="A34" s="282" t="s">
        <v>31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1"/>
      <c r="W34" s="281"/>
      <c r="X34" s="281"/>
      <c r="Y34" s="281"/>
      <c r="Z34" s="278"/>
      <c r="AA34" s="278"/>
      <c r="AB34" s="278"/>
      <c r="AC34" s="278"/>
      <c r="AD34" s="278"/>
      <c r="AE34" s="278"/>
      <c r="AF34" s="278"/>
      <c r="AG34" s="278"/>
      <c r="AH34" s="279"/>
      <c r="AI34" s="279"/>
      <c r="AJ34" s="279"/>
      <c r="AK34" s="279"/>
      <c r="AL34" s="279"/>
      <c r="AM34" s="279"/>
      <c r="AN34" s="279"/>
      <c r="AO34" s="279"/>
    </row>
    <row r="35" spans="1:41" ht="15" customHeight="1">
      <c r="A35" s="280" t="s">
        <v>32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1">
        <v>100</v>
      </c>
      <c r="W35" s="281"/>
      <c r="X35" s="281"/>
      <c r="Y35" s="281"/>
      <c r="Z35" s="278"/>
      <c r="AA35" s="278"/>
      <c r="AB35" s="278"/>
      <c r="AC35" s="278"/>
      <c r="AD35" s="278"/>
      <c r="AE35" s="278"/>
      <c r="AF35" s="278"/>
      <c r="AG35" s="278"/>
      <c r="AH35" s="279"/>
      <c r="AI35" s="279"/>
      <c r="AJ35" s="279"/>
      <c r="AK35" s="279"/>
      <c r="AL35" s="279"/>
      <c r="AM35" s="279"/>
      <c r="AN35" s="279"/>
      <c r="AO35" s="279"/>
    </row>
    <row r="36" spans="1:41" ht="15" customHeight="1">
      <c r="A36" s="280" t="s">
        <v>33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1">
        <v>110</v>
      </c>
      <c r="W36" s="281"/>
      <c r="X36" s="281"/>
      <c r="Y36" s="281"/>
      <c r="Z36" s="278"/>
      <c r="AA36" s="278"/>
      <c r="AB36" s="278"/>
      <c r="AC36" s="278"/>
      <c r="AD36" s="278"/>
      <c r="AE36" s="278"/>
      <c r="AF36" s="278"/>
      <c r="AG36" s="278"/>
      <c r="AH36" s="279"/>
      <c r="AI36" s="279"/>
      <c r="AJ36" s="279"/>
      <c r="AK36" s="279"/>
      <c r="AL36" s="279"/>
      <c r="AM36" s="279"/>
      <c r="AN36" s="279"/>
      <c r="AO36" s="279"/>
    </row>
    <row r="37" spans="1:41" ht="15" customHeight="1">
      <c r="A37" s="280" t="s">
        <v>34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>
        <v>130</v>
      </c>
      <c r="W37" s="281"/>
      <c r="X37" s="281"/>
      <c r="Y37" s="281"/>
      <c r="Z37" s="278"/>
      <c r="AA37" s="278"/>
      <c r="AB37" s="278"/>
      <c r="AC37" s="278"/>
      <c r="AD37" s="278"/>
      <c r="AE37" s="278"/>
      <c r="AF37" s="278"/>
      <c r="AG37" s="278"/>
      <c r="AH37" s="279"/>
      <c r="AI37" s="279"/>
      <c r="AJ37" s="279"/>
      <c r="AK37" s="279"/>
      <c r="AL37" s="279"/>
      <c r="AM37" s="279"/>
      <c r="AN37" s="279"/>
      <c r="AO37" s="279"/>
    </row>
    <row r="38" spans="1:41" ht="15" customHeight="1">
      <c r="A38" s="280" t="s">
        <v>35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1"/>
      <c r="W38" s="281"/>
      <c r="X38" s="281"/>
      <c r="Y38" s="281"/>
      <c r="Z38" s="278"/>
      <c r="AA38" s="278"/>
      <c r="AB38" s="278"/>
      <c r="AC38" s="278"/>
      <c r="AD38" s="278"/>
      <c r="AE38" s="278"/>
      <c r="AF38" s="278"/>
      <c r="AG38" s="278"/>
      <c r="AH38" s="279"/>
      <c r="AI38" s="279"/>
      <c r="AJ38" s="279"/>
      <c r="AK38" s="279"/>
      <c r="AL38" s="279"/>
      <c r="AM38" s="279"/>
      <c r="AN38" s="279"/>
      <c r="AO38" s="279"/>
    </row>
    <row r="39" spans="1:41" ht="15" customHeight="1">
      <c r="A39" s="280" t="s">
        <v>84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1">
        <v>160</v>
      </c>
      <c r="W39" s="281"/>
      <c r="X39" s="281"/>
      <c r="Y39" s="281"/>
      <c r="Z39" s="278"/>
      <c r="AA39" s="278"/>
      <c r="AB39" s="278"/>
      <c r="AC39" s="278"/>
      <c r="AD39" s="278"/>
      <c r="AE39" s="278"/>
      <c r="AF39" s="278"/>
      <c r="AG39" s="278"/>
      <c r="AH39" s="279"/>
      <c r="AI39" s="279"/>
      <c r="AJ39" s="279"/>
      <c r="AK39" s="279"/>
      <c r="AL39" s="279"/>
      <c r="AM39" s="279"/>
      <c r="AN39" s="279"/>
      <c r="AO39" s="279"/>
    </row>
    <row r="40" spans="1:41" ht="15" customHeight="1">
      <c r="A40" s="280" t="s">
        <v>82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1">
        <v>161</v>
      </c>
      <c r="W40" s="281"/>
      <c r="X40" s="281"/>
      <c r="Y40" s="281"/>
      <c r="Z40" s="278"/>
      <c r="AA40" s="278"/>
      <c r="AB40" s="278"/>
      <c r="AC40" s="278"/>
      <c r="AD40" s="278"/>
      <c r="AE40" s="278"/>
      <c r="AF40" s="278"/>
      <c r="AG40" s="278"/>
      <c r="AH40" s="279"/>
      <c r="AI40" s="279"/>
      <c r="AJ40" s="279"/>
      <c r="AK40" s="279"/>
      <c r="AL40" s="279"/>
      <c r="AM40" s="279"/>
      <c r="AN40" s="279"/>
      <c r="AO40" s="279"/>
    </row>
    <row r="41" spans="1:41" ht="15" customHeight="1">
      <c r="A41" s="280" t="s">
        <v>85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1">
        <v>162</v>
      </c>
      <c r="W41" s="281"/>
      <c r="X41" s="281"/>
      <c r="Y41" s="281"/>
      <c r="Z41" s="253" t="s">
        <v>117</v>
      </c>
      <c r="AA41" s="254"/>
      <c r="AB41" s="254"/>
      <c r="AC41" s="254"/>
      <c r="AD41" s="254"/>
      <c r="AE41" s="254"/>
      <c r="AF41" s="254"/>
      <c r="AG41" s="255"/>
      <c r="AH41" s="253" t="s">
        <v>118</v>
      </c>
      <c r="AI41" s="254"/>
      <c r="AJ41" s="254"/>
      <c r="AK41" s="254"/>
      <c r="AL41" s="254"/>
      <c r="AM41" s="254"/>
      <c r="AN41" s="254"/>
      <c r="AO41" s="255"/>
    </row>
    <row r="42" spans="1:41" ht="15" customHeight="1">
      <c r="A42" s="280" t="s">
        <v>36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1">
        <v>170</v>
      </c>
      <c r="W42" s="281"/>
      <c r="X42" s="281"/>
      <c r="Y42" s="28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  <c r="AO42" s="279"/>
    </row>
    <row r="43" spans="1:41" ht="15" customHeight="1">
      <c r="A43" s="280" t="s">
        <v>37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1">
        <v>210</v>
      </c>
      <c r="W43" s="281"/>
      <c r="X43" s="281"/>
      <c r="Y43" s="281"/>
      <c r="Z43" s="278"/>
      <c r="AA43" s="278"/>
      <c r="AB43" s="278"/>
      <c r="AC43" s="278"/>
      <c r="AD43" s="278"/>
      <c r="AE43" s="278"/>
      <c r="AF43" s="278"/>
      <c r="AG43" s="278"/>
      <c r="AH43" s="279"/>
      <c r="AI43" s="279"/>
      <c r="AJ43" s="279"/>
      <c r="AK43" s="279"/>
      <c r="AL43" s="279"/>
      <c r="AM43" s="279"/>
      <c r="AN43" s="279"/>
      <c r="AO43" s="279"/>
    </row>
    <row r="44" spans="1:41" ht="15" customHeight="1">
      <c r="A44" s="280" t="s">
        <v>38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1">
        <v>220</v>
      </c>
      <c r="W44" s="281"/>
      <c r="X44" s="281"/>
      <c r="Y44" s="281"/>
      <c r="Z44" s="278"/>
      <c r="AA44" s="278"/>
      <c r="AB44" s="278"/>
      <c r="AC44" s="278"/>
      <c r="AD44" s="278"/>
      <c r="AE44" s="278"/>
      <c r="AF44" s="278"/>
      <c r="AG44" s="278"/>
      <c r="AH44" s="279"/>
      <c r="AI44" s="279"/>
      <c r="AJ44" s="279"/>
      <c r="AK44" s="279"/>
      <c r="AL44" s="279"/>
      <c r="AM44" s="279"/>
      <c r="AN44" s="279"/>
      <c r="AO44" s="279"/>
    </row>
    <row r="45" spans="1:41" ht="15" customHeight="1">
      <c r="A45" s="280" t="s">
        <v>39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1"/>
      <c r="W45" s="281"/>
      <c r="X45" s="281"/>
      <c r="Y45" s="281"/>
      <c r="Z45" s="278"/>
      <c r="AA45" s="278"/>
      <c r="AB45" s="278"/>
      <c r="AC45" s="278"/>
      <c r="AD45" s="278"/>
      <c r="AE45" s="278"/>
      <c r="AF45" s="278"/>
      <c r="AG45" s="278"/>
      <c r="AH45" s="279"/>
      <c r="AI45" s="279"/>
      <c r="AJ45" s="279"/>
      <c r="AK45" s="279"/>
      <c r="AL45" s="279"/>
      <c r="AM45" s="279"/>
      <c r="AN45" s="279"/>
      <c r="AO45" s="279"/>
    </row>
    <row r="46" spans="1:41" ht="15" customHeight="1">
      <c r="A46" s="280" t="s">
        <v>86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1">
        <v>230</v>
      </c>
      <c r="W46" s="281"/>
      <c r="X46" s="281"/>
      <c r="Y46" s="281"/>
      <c r="Z46" s="278"/>
      <c r="AA46" s="278"/>
      <c r="AB46" s="278"/>
      <c r="AC46" s="278"/>
      <c r="AD46" s="278"/>
      <c r="AE46" s="278"/>
      <c r="AF46" s="278"/>
      <c r="AG46" s="278"/>
      <c r="AH46" s="279"/>
      <c r="AI46" s="279"/>
      <c r="AJ46" s="279"/>
      <c r="AK46" s="279"/>
      <c r="AL46" s="279"/>
      <c r="AM46" s="279"/>
      <c r="AN46" s="279"/>
      <c r="AO46" s="279"/>
    </row>
    <row r="47" spans="1:41" ht="15" customHeight="1">
      <c r="A47" s="280" t="s">
        <v>87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1">
        <v>231</v>
      </c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  <c r="AO47" s="279"/>
    </row>
    <row r="48" spans="1:41" ht="15" customHeight="1">
      <c r="A48" s="280" t="s">
        <v>88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>
        <v>240</v>
      </c>
      <c r="W48" s="281"/>
      <c r="X48" s="281"/>
      <c r="Y48" s="281"/>
      <c r="Z48" s="278"/>
      <c r="AA48" s="278"/>
      <c r="AB48" s="278"/>
      <c r="AC48" s="278"/>
      <c r="AD48" s="278"/>
      <c r="AE48" s="278"/>
      <c r="AF48" s="278"/>
      <c r="AG48" s="278"/>
      <c r="AH48" s="279"/>
      <c r="AI48" s="279"/>
      <c r="AJ48" s="279"/>
      <c r="AK48" s="279"/>
      <c r="AL48" s="279"/>
      <c r="AM48" s="279"/>
      <c r="AN48" s="279"/>
      <c r="AO48" s="279"/>
    </row>
    <row r="49" spans="1:41" ht="15" customHeight="1">
      <c r="A49" s="280" t="s">
        <v>40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>
        <v>250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279"/>
      <c r="AI49" s="279"/>
      <c r="AJ49" s="279"/>
      <c r="AK49" s="279"/>
      <c r="AL49" s="279"/>
      <c r="AM49" s="279"/>
      <c r="AN49" s="279"/>
      <c r="AO49" s="279"/>
    </row>
    <row r="50" spans="1:41" ht="15" customHeight="1">
      <c r="A50" s="282" t="s">
        <v>41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3">
        <v>260</v>
      </c>
      <c r="W50" s="283"/>
      <c r="X50" s="283"/>
      <c r="Y50" s="283"/>
      <c r="Z50" s="278"/>
      <c r="AA50" s="278"/>
      <c r="AB50" s="278"/>
      <c r="AC50" s="278"/>
      <c r="AD50" s="278"/>
      <c r="AE50" s="278"/>
      <c r="AF50" s="278"/>
      <c r="AG50" s="278"/>
      <c r="AH50" s="279"/>
      <c r="AI50" s="279"/>
      <c r="AJ50" s="279"/>
      <c r="AK50" s="279"/>
      <c r="AL50" s="279"/>
      <c r="AM50" s="279"/>
      <c r="AN50" s="279"/>
      <c r="AO50" s="279"/>
    </row>
    <row r="51" spans="1:41" ht="15" customHeight="1">
      <c r="A51" s="282" t="s">
        <v>42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3">
        <v>270</v>
      </c>
      <c r="W51" s="283"/>
      <c r="X51" s="283"/>
      <c r="Y51" s="283"/>
      <c r="Z51" s="278"/>
      <c r="AA51" s="278"/>
      <c r="AB51" s="278"/>
      <c r="AC51" s="278"/>
      <c r="AD51" s="278"/>
      <c r="AE51" s="278"/>
      <c r="AF51" s="278"/>
      <c r="AG51" s="278"/>
      <c r="AH51" s="279"/>
      <c r="AI51" s="279"/>
      <c r="AJ51" s="279"/>
      <c r="AK51" s="279"/>
      <c r="AL51" s="279"/>
      <c r="AM51" s="279"/>
      <c r="AN51" s="279"/>
      <c r="AO51" s="279"/>
    </row>
    <row r="52" spans="1:41" ht="15" customHeight="1">
      <c r="A52" s="282" t="s">
        <v>43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3">
        <v>275</v>
      </c>
      <c r="W52" s="283"/>
      <c r="X52" s="283"/>
      <c r="Y52" s="283"/>
      <c r="Z52" s="278"/>
      <c r="AA52" s="278"/>
      <c r="AB52" s="278"/>
      <c r="AC52" s="278"/>
      <c r="AD52" s="278"/>
      <c r="AE52" s="278"/>
      <c r="AF52" s="278"/>
      <c r="AG52" s="278"/>
      <c r="AH52" s="279"/>
      <c r="AI52" s="279"/>
      <c r="AJ52" s="279"/>
      <c r="AK52" s="279"/>
      <c r="AL52" s="279"/>
      <c r="AM52" s="279"/>
      <c r="AN52" s="279"/>
      <c r="AO52" s="279"/>
    </row>
    <row r="53" spans="1:41" ht="15" customHeight="1">
      <c r="A53" s="282" t="s">
        <v>44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>
        <v>280</v>
      </c>
      <c r="W53" s="283"/>
      <c r="X53" s="283"/>
      <c r="Y53" s="283"/>
      <c r="Z53" s="278"/>
      <c r="AA53" s="278"/>
      <c r="AB53" s="278"/>
      <c r="AC53" s="278"/>
      <c r="AD53" s="278"/>
      <c r="AE53" s="278"/>
      <c r="AF53" s="278"/>
      <c r="AG53" s="278"/>
      <c r="AH53" s="279"/>
      <c r="AI53" s="279"/>
      <c r="AJ53" s="279"/>
      <c r="AK53" s="279"/>
      <c r="AL53" s="279"/>
      <c r="AM53" s="279"/>
      <c r="AN53" s="279"/>
      <c r="AO53" s="279"/>
    </row>
    <row r="54" spans="1:41" ht="26.25" customHeight="1">
      <c r="A54" s="265" t="s">
        <v>45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7"/>
      <c r="V54" s="265" t="s">
        <v>19</v>
      </c>
      <c r="W54" s="266"/>
      <c r="X54" s="266"/>
      <c r="Y54" s="267"/>
      <c r="Z54" s="265" t="s">
        <v>20</v>
      </c>
      <c r="AA54" s="266"/>
      <c r="AB54" s="266"/>
      <c r="AC54" s="266"/>
      <c r="AD54" s="266"/>
      <c r="AE54" s="266"/>
      <c r="AF54" s="266"/>
      <c r="AG54" s="267"/>
      <c r="AH54" s="273" t="s">
        <v>78</v>
      </c>
      <c r="AI54" s="273"/>
      <c r="AJ54" s="273"/>
      <c r="AK54" s="273"/>
      <c r="AL54" s="273"/>
      <c r="AM54" s="273"/>
      <c r="AN54" s="273"/>
      <c r="AO54" s="273"/>
    </row>
    <row r="55" spans="1:41" ht="12.75" customHeight="1">
      <c r="A55" s="269">
        <v>1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1"/>
      <c r="V55" s="281">
        <v>2</v>
      </c>
      <c r="W55" s="281"/>
      <c r="X55" s="281"/>
      <c r="Y55" s="281"/>
      <c r="Z55" s="253">
        <v>3</v>
      </c>
      <c r="AA55" s="254"/>
      <c r="AB55" s="254"/>
      <c r="AC55" s="254"/>
      <c r="AD55" s="254"/>
      <c r="AE55" s="254"/>
      <c r="AF55" s="254"/>
      <c r="AG55" s="255"/>
      <c r="AH55" s="253">
        <v>4</v>
      </c>
      <c r="AI55" s="254"/>
      <c r="AJ55" s="254"/>
      <c r="AK55" s="254"/>
      <c r="AL55" s="254"/>
      <c r="AM55" s="254"/>
      <c r="AN55" s="254"/>
      <c r="AO55" s="255"/>
    </row>
    <row r="56" spans="1:41" ht="12.75" customHeight="1">
      <c r="A56" s="282" t="s">
        <v>46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1"/>
      <c r="W56" s="281"/>
      <c r="X56" s="281"/>
      <c r="Y56" s="28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  <c r="AO56" s="279"/>
    </row>
    <row r="57" spans="1:41" ht="12" customHeight="1">
      <c r="A57" s="280" t="s">
        <v>47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1">
        <v>300</v>
      </c>
      <c r="W57" s="281"/>
      <c r="X57" s="281"/>
      <c r="Y57" s="281"/>
      <c r="Z57" s="278"/>
      <c r="AA57" s="278"/>
      <c r="AB57" s="278"/>
      <c r="AC57" s="278"/>
      <c r="AD57" s="278"/>
      <c r="AE57" s="278"/>
      <c r="AF57" s="278"/>
      <c r="AG57" s="278"/>
      <c r="AH57" s="279"/>
      <c r="AI57" s="279"/>
      <c r="AJ57" s="279"/>
      <c r="AK57" s="279"/>
      <c r="AL57" s="279"/>
      <c r="AM57" s="279"/>
      <c r="AN57" s="279"/>
      <c r="AO57" s="279"/>
    </row>
    <row r="58" spans="1:41" ht="12" customHeight="1">
      <c r="A58" s="280" t="s">
        <v>48</v>
      </c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1">
        <v>320</v>
      </c>
      <c r="W58" s="281"/>
      <c r="X58" s="281"/>
      <c r="Y58" s="281"/>
      <c r="Z58" s="278"/>
      <c r="AA58" s="278"/>
      <c r="AB58" s="278"/>
      <c r="AC58" s="278"/>
      <c r="AD58" s="278"/>
      <c r="AE58" s="278"/>
      <c r="AF58" s="278"/>
      <c r="AG58" s="278"/>
      <c r="AH58" s="279"/>
      <c r="AI58" s="279"/>
      <c r="AJ58" s="279"/>
      <c r="AK58" s="279"/>
      <c r="AL58" s="279"/>
      <c r="AM58" s="279"/>
      <c r="AN58" s="279"/>
      <c r="AO58" s="279"/>
    </row>
    <row r="59" spans="1:41" ht="12" customHeight="1">
      <c r="A59" s="280" t="s">
        <v>49</v>
      </c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1">
        <v>340</v>
      </c>
      <c r="W59" s="281"/>
      <c r="X59" s="281"/>
      <c r="Y59" s="281"/>
      <c r="Z59" s="278"/>
      <c r="AA59" s="278"/>
      <c r="AB59" s="278"/>
      <c r="AC59" s="278"/>
      <c r="AD59" s="278"/>
      <c r="AE59" s="278"/>
      <c r="AF59" s="278"/>
      <c r="AG59" s="278"/>
      <c r="AH59" s="279"/>
      <c r="AI59" s="279"/>
      <c r="AJ59" s="279"/>
      <c r="AK59" s="279"/>
      <c r="AL59" s="279"/>
      <c r="AM59" s="279"/>
      <c r="AN59" s="279"/>
      <c r="AO59" s="279"/>
    </row>
    <row r="60" spans="1:41" ht="12" customHeight="1">
      <c r="A60" s="280" t="s">
        <v>50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1">
        <v>350</v>
      </c>
      <c r="W60" s="281"/>
      <c r="X60" s="281"/>
      <c r="Y60" s="281"/>
      <c r="Z60" s="278"/>
      <c r="AA60" s="278"/>
      <c r="AB60" s="278"/>
      <c r="AC60" s="278"/>
      <c r="AD60" s="278"/>
      <c r="AE60" s="278"/>
      <c r="AF60" s="278"/>
      <c r="AG60" s="278"/>
      <c r="AH60" s="279"/>
      <c r="AI60" s="279"/>
      <c r="AJ60" s="279"/>
      <c r="AK60" s="279"/>
      <c r="AL60" s="279"/>
      <c r="AM60" s="279"/>
      <c r="AN60" s="279"/>
      <c r="AO60" s="279"/>
    </row>
    <row r="61" spans="1:41" ht="12" customHeight="1">
      <c r="A61" s="280" t="s">
        <v>51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1">
        <v>360</v>
      </c>
      <c r="W61" s="281"/>
      <c r="X61" s="281"/>
      <c r="Y61" s="281"/>
      <c r="Z61" s="253" t="s">
        <v>117</v>
      </c>
      <c r="AA61" s="254"/>
      <c r="AB61" s="254"/>
      <c r="AC61" s="254"/>
      <c r="AD61" s="254"/>
      <c r="AE61" s="254"/>
      <c r="AF61" s="254"/>
      <c r="AG61" s="255"/>
      <c r="AH61" s="253" t="s">
        <v>118</v>
      </c>
      <c r="AI61" s="254"/>
      <c r="AJ61" s="254"/>
      <c r="AK61" s="254"/>
      <c r="AL61" s="254"/>
      <c r="AM61" s="254"/>
      <c r="AN61" s="254"/>
      <c r="AO61" s="255"/>
    </row>
    <row r="62" spans="1:41" ht="12" customHeight="1">
      <c r="A62" s="282" t="s">
        <v>30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3">
        <v>380</v>
      </c>
      <c r="W62" s="283"/>
      <c r="X62" s="283"/>
      <c r="Y62" s="283"/>
      <c r="Z62" s="278"/>
      <c r="AA62" s="278"/>
      <c r="AB62" s="278"/>
      <c r="AC62" s="278"/>
      <c r="AD62" s="278"/>
      <c r="AE62" s="278"/>
      <c r="AF62" s="278"/>
      <c r="AG62" s="278"/>
      <c r="AH62" s="279"/>
      <c r="AI62" s="279"/>
      <c r="AJ62" s="279"/>
      <c r="AK62" s="279"/>
      <c r="AL62" s="279"/>
      <c r="AM62" s="279"/>
      <c r="AN62" s="279"/>
      <c r="AO62" s="279"/>
    </row>
    <row r="63" spans="1:41" ht="25.5" customHeight="1">
      <c r="A63" s="282" t="s">
        <v>52</v>
      </c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3">
        <v>430</v>
      </c>
      <c r="W63" s="283"/>
      <c r="X63" s="283"/>
      <c r="Y63" s="283"/>
      <c r="Z63" s="278"/>
      <c r="AA63" s="278"/>
      <c r="AB63" s="278"/>
      <c r="AC63" s="278"/>
      <c r="AD63" s="278"/>
      <c r="AE63" s="278"/>
      <c r="AF63" s="278"/>
      <c r="AG63" s="278"/>
      <c r="AH63" s="279"/>
      <c r="AI63" s="279"/>
      <c r="AJ63" s="279"/>
      <c r="AK63" s="279"/>
      <c r="AL63" s="279"/>
      <c r="AM63" s="279"/>
      <c r="AN63" s="279"/>
      <c r="AO63" s="279"/>
    </row>
    <row r="64" spans="1:41" ht="12" customHeight="1">
      <c r="A64" s="282" t="s">
        <v>53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3">
        <v>480</v>
      </c>
      <c r="W64" s="283"/>
      <c r="X64" s="283"/>
      <c r="Y64" s="283"/>
      <c r="Z64" s="278"/>
      <c r="AA64" s="278"/>
      <c r="AB64" s="278"/>
      <c r="AC64" s="278"/>
      <c r="AD64" s="278"/>
      <c r="AE64" s="278"/>
      <c r="AF64" s="278"/>
      <c r="AG64" s="278"/>
      <c r="AH64" s="279"/>
      <c r="AI64" s="279"/>
      <c r="AJ64" s="279"/>
      <c r="AK64" s="279"/>
      <c r="AL64" s="279"/>
      <c r="AM64" s="279"/>
      <c r="AN64" s="279"/>
      <c r="AO64" s="279"/>
    </row>
    <row r="65" spans="1:41" ht="12" customHeight="1">
      <c r="A65" s="282" t="s">
        <v>54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3"/>
      <c r="W65" s="283"/>
      <c r="X65" s="283"/>
      <c r="Y65" s="283"/>
      <c r="Z65" s="278"/>
      <c r="AA65" s="278"/>
      <c r="AB65" s="278"/>
      <c r="AC65" s="278"/>
      <c r="AD65" s="278"/>
      <c r="AE65" s="278"/>
      <c r="AF65" s="278"/>
      <c r="AG65" s="278"/>
      <c r="AH65" s="279"/>
      <c r="AI65" s="279"/>
      <c r="AJ65" s="279"/>
      <c r="AK65" s="279"/>
      <c r="AL65" s="279"/>
      <c r="AM65" s="279"/>
      <c r="AN65" s="279"/>
      <c r="AO65" s="279"/>
    </row>
    <row r="66" spans="1:41" ht="12" customHeight="1">
      <c r="A66" s="280" t="s">
        <v>55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1">
        <v>500</v>
      </c>
      <c r="W66" s="281"/>
      <c r="X66" s="281"/>
      <c r="Y66" s="281"/>
      <c r="Z66" s="278"/>
      <c r="AA66" s="278"/>
      <c r="AB66" s="278"/>
      <c r="AC66" s="278"/>
      <c r="AD66" s="278"/>
      <c r="AE66" s="278"/>
      <c r="AF66" s="278"/>
      <c r="AG66" s="278"/>
      <c r="AH66" s="279"/>
      <c r="AI66" s="279"/>
      <c r="AJ66" s="279"/>
      <c r="AK66" s="279"/>
      <c r="AL66" s="279"/>
      <c r="AM66" s="279"/>
      <c r="AN66" s="279"/>
      <c r="AO66" s="279"/>
    </row>
    <row r="67" spans="1:41" ht="13.5" customHeight="1">
      <c r="A67" s="280" t="s">
        <v>56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1">
        <v>510</v>
      </c>
      <c r="W67" s="281"/>
      <c r="X67" s="281"/>
      <c r="Y67" s="281"/>
      <c r="Z67" s="278"/>
      <c r="AA67" s="278"/>
      <c r="AB67" s="278"/>
      <c r="AC67" s="278"/>
      <c r="AD67" s="278"/>
      <c r="AE67" s="278"/>
      <c r="AF67" s="278"/>
      <c r="AG67" s="278"/>
      <c r="AH67" s="279"/>
      <c r="AI67" s="279"/>
      <c r="AJ67" s="279"/>
      <c r="AK67" s="279"/>
      <c r="AL67" s="279"/>
      <c r="AM67" s="279"/>
      <c r="AN67" s="279"/>
      <c r="AO67" s="279"/>
    </row>
    <row r="68" spans="1:41" ht="12" customHeight="1">
      <c r="A68" s="280" t="s">
        <v>57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1">
        <v>530</v>
      </c>
      <c r="W68" s="281"/>
      <c r="X68" s="281"/>
      <c r="Y68" s="281"/>
      <c r="Z68" s="278"/>
      <c r="AA68" s="278"/>
      <c r="AB68" s="278"/>
      <c r="AC68" s="278"/>
      <c r="AD68" s="278"/>
      <c r="AE68" s="278"/>
      <c r="AF68" s="278"/>
      <c r="AG68" s="278"/>
      <c r="AH68" s="279"/>
      <c r="AI68" s="279"/>
      <c r="AJ68" s="279"/>
      <c r="AK68" s="279"/>
      <c r="AL68" s="279"/>
      <c r="AM68" s="279"/>
      <c r="AN68" s="279"/>
      <c r="AO68" s="279"/>
    </row>
    <row r="69" spans="1:41" ht="12" customHeight="1">
      <c r="A69" s="280" t="s">
        <v>58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1"/>
      <c r="W69" s="281"/>
      <c r="X69" s="281"/>
      <c r="Y69" s="281"/>
      <c r="Z69" s="278"/>
      <c r="AA69" s="278"/>
      <c r="AB69" s="278"/>
      <c r="AC69" s="278"/>
      <c r="AD69" s="278"/>
      <c r="AE69" s="278"/>
      <c r="AF69" s="278"/>
      <c r="AG69" s="278"/>
      <c r="AH69" s="279"/>
      <c r="AI69" s="279"/>
      <c r="AJ69" s="279"/>
      <c r="AK69" s="279"/>
      <c r="AL69" s="279"/>
      <c r="AM69" s="279"/>
      <c r="AN69" s="279"/>
      <c r="AO69" s="279"/>
    </row>
    <row r="70" spans="1:41" ht="12" customHeight="1">
      <c r="A70" s="280" t="s">
        <v>120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1">
        <v>550</v>
      </c>
      <c r="W70" s="281"/>
      <c r="X70" s="281"/>
      <c r="Y70" s="281"/>
      <c r="Z70" s="278"/>
      <c r="AA70" s="278"/>
      <c r="AB70" s="278"/>
      <c r="AC70" s="278"/>
      <c r="AD70" s="278"/>
      <c r="AE70" s="278"/>
      <c r="AF70" s="278"/>
      <c r="AG70" s="278"/>
      <c r="AH70" s="279"/>
      <c r="AI70" s="279"/>
      <c r="AJ70" s="279"/>
      <c r="AK70" s="279"/>
      <c r="AL70" s="279"/>
      <c r="AM70" s="279"/>
      <c r="AN70" s="279"/>
      <c r="AO70" s="279"/>
    </row>
    <row r="71" spans="1:41" ht="12" customHeight="1">
      <c r="A71" s="280" t="s">
        <v>121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1">
        <v>570</v>
      </c>
      <c r="W71" s="281"/>
      <c r="X71" s="281"/>
      <c r="Y71" s="281"/>
      <c r="Z71" s="278"/>
      <c r="AA71" s="278"/>
      <c r="AB71" s="278"/>
      <c r="AC71" s="278"/>
      <c r="AD71" s="278"/>
      <c r="AE71" s="278"/>
      <c r="AF71" s="278"/>
      <c r="AG71" s="278"/>
      <c r="AH71" s="279"/>
      <c r="AI71" s="279"/>
      <c r="AJ71" s="279"/>
      <c r="AK71" s="279"/>
      <c r="AL71" s="279"/>
      <c r="AM71" s="279"/>
      <c r="AN71" s="279"/>
      <c r="AO71" s="279"/>
    </row>
    <row r="72" spans="1:41" ht="12" customHeight="1">
      <c r="A72" s="280" t="s">
        <v>122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1">
        <v>580</v>
      </c>
      <c r="W72" s="281"/>
      <c r="X72" s="281"/>
      <c r="Y72" s="281"/>
      <c r="Z72" s="278"/>
      <c r="AA72" s="278"/>
      <c r="AB72" s="278"/>
      <c r="AC72" s="278"/>
      <c r="AD72" s="278"/>
      <c r="AE72" s="278"/>
      <c r="AF72" s="278"/>
      <c r="AG72" s="278"/>
      <c r="AH72" s="279"/>
      <c r="AI72" s="279"/>
      <c r="AJ72" s="279"/>
      <c r="AK72" s="279"/>
      <c r="AL72" s="279"/>
      <c r="AM72" s="279"/>
      <c r="AN72" s="279"/>
      <c r="AO72" s="279"/>
    </row>
    <row r="73" spans="1:41" ht="12" customHeight="1">
      <c r="A73" s="280" t="s">
        <v>59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1">
        <v>610</v>
      </c>
      <c r="W73" s="281"/>
      <c r="X73" s="281"/>
      <c r="Y73" s="281"/>
      <c r="Z73" s="278"/>
      <c r="AA73" s="278"/>
      <c r="AB73" s="278"/>
      <c r="AC73" s="278"/>
      <c r="AD73" s="278"/>
      <c r="AE73" s="278"/>
      <c r="AF73" s="278"/>
      <c r="AG73" s="278"/>
      <c r="AH73" s="279"/>
      <c r="AI73" s="279"/>
      <c r="AJ73" s="279"/>
      <c r="AK73" s="279"/>
      <c r="AL73" s="279"/>
      <c r="AM73" s="279"/>
      <c r="AN73" s="279"/>
      <c r="AO73" s="279"/>
    </row>
    <row r="74" spans="1:41" ht="12" customHeight="1">
      <c r="A74" s="282" t="s">
        <v>60</v>
      </c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3">
        <v>620</v>
      </c>
      <c r="W74" s="283"/>
      <c r="X74" s="283"/>
      <c r="Y74" s="283"/>
      <c r="Z74" s="278"/>
      <c r="AA74" s="278"/>
      <c r="AB74" s="278"/>
      <c r="AC74" s="278"/>
      <c r="AD74" s="278"/>
      <c r="AE74" s="278"/>
      <c r="AF74" s="278"/>
      <c r="AG74" s="278"/>
      <c r="AH74" s="279"/>
      <c r="AI74" s="279"/>
      <c r="AJ74" s="279"/>
      <c r="AK74" s="279"/>
      <c r="AL74" s="279"/>
      <c r="AM74" s="279"/>
      <c r="AN74" s="279"/>
      <c r="AO74" s="279"/>
    </row>
    <row r="75" spans="1:41" ht="12" customHeight="1">
      <c r="A75" s="282" t="s">
        <v>61</v>
      </c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3">
        <v>630</v>
      </c>
      <c r="W75" s="283"/>
      <c r="X75" s="283"/>
      <c r="Y75" s="283"/>
      <c r="Z75" s="278"/>
      <c r="AA75" s="278"/>
      <c r="AB75" s="278"/>
      <c r="AC75" s="278"/>
      <c r="AD75" s="278"/>
      <c r="AE75" s="278"/>
      <c r="AF75" s="278"/>
      <c r="AG75" s="278"/>
      <c r="AH75" s="279"/>
      <c r="AI75" s="279"/>
      <c r="AJ75" s="279"/>
      <c r="AK75" s="279"/>
      <c r="AL75" s="279"/>
      <c r="AM75" s="279"/>
      <c r="AN75" s="279"/>
      <c r="AO75" s="279"/>
    </row>
    <row r="76" spans="1:41" ht="12" customHeight="1">
      <c r="A76" s="282" t="s">
        <v>44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3">
        <v>640</v>
      </c>
      <c r="W76" s="283"/>
      <c r="X76" s="283"/>
      <c r="Y76" s="283"/>
      <c r="Z76" s="278"/>
      <c r="AA76" s="278"/>
      <c r="AB76" s="278"/>
      <c r="AC76" s="278"/>
      <c r="AD76" s="278"/>
      <c r="AE76" s="278"/>
      <c r="AF76" s="278"/>
      <c r="AG76" s="278"/>
      <c r="AH76" s="279"/>
      <c r="AI76" s="279"/>
      <c r="AJ76" s="279"/>
      <c r="AK76" s="279"/>
      <c r="AL76" s="279"/>
      <c r="AM76" s="279"/>
      <c r="AN76" s="279"/>
      <c r="AO76" s="279"/>
    </row>
    <row r="77" spans="1:41" ht="21" customHeight="1">
      <c r="A77" s="274" t="s">
        <v>112</v>
      </c>
      <c r="B77" s="275"/>
      <c r="C77" s="275"/>
      <c r="D77" s="275"/>
      <c r="E77" s="275"/>
      <c r="F77" s="275"/>
      <c r="G77" s="275"/>
      <c r="H77" s="275"/>
      <c r="I77" s="275"/>
      <c r="J77" s="275"/>
      <c r="K77" s="16"/>
      <c r="L77" s="277" t="s">
        <v>89</v>
      </c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C77" s="276" t="s">
        <v>90</v>
      </c>
      <c r="AD77" s="247"/>
      <c r="AE77" s="247"/>
      <c r="AF77" s="247"/>
      <c r="AG77" s="247"/>
      <c r="AH77" s="247"/>
      <c r="AI77" s="247"/>
      <c r="AJ77" s="247"/>
    </row>
    <row r="78" spans="1:41" ht="6.75" customHeight="1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>
      <c r="A79" s="260" t="s">
        <v>62</v>
      </c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</row>
    <row r="80" spans="1:41" ht="12.75" customHeight="1">
      <c r="A80" s="261" t="s">
        <v>63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</row>
    <row r="81" spans="1:41" ht="14.25" customHeight="1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256" t="s">
        <v>123</v>
      </c>
      <c r="AA81" s="256"/>
      <c r="AB81" s="256"/>
      <c r="AC81" s="256"/>
      <c r="AD81" s="256"/>
      <c r="AE81" s="256"/>
      <c r="AF81" s="256"/>
      <c r="AG81" s="256"/>
    </row>
    <row r="82" spans="1:41" ht="15" customHeight="1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256" t="s">
        <v>16</v>
      </c>
      <c r="AA82" s="256"/>
      <c r="AB82" s="256"/>
      <c r="AC82" s="256"/>
      <c r="AD82" s="256"/>
      <c r="AE82" s="256"/>
      <c r="AF82" s="256"/>
      <c r="AG82" s="256"/>
      <c r="AH82" s="257">
        <v>1801007</v>
      </c>
      <c r="AI82" s="258"/>
      <c r="AJ82" s="258"/>
      <c r="AK82" s="258"/>
      <c r="AL82" s="258"/>
      <c r="AM82" s="258"/>
      <c r="AN82" s="258"/>
      <c r="AO82" s="259"/>
    </row>
    <row r="83" spans="1:41" ht="6.75" customHeight="1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>
      <c r="A84" s="273" t="s">
        <v>64</v>
      </c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68" t="s">
        <v>19</v>
      </c>
      <c r="W84" s="268"/>
      <c r="X84" s="268"/>
      <c r="Y84" s="268"/>
      <c r="Z84" s="262" t="s">
        <v>113</v>
      </c>
      <c r="AA84" s="263"/>
      <c r="AB84" s="263"/>
      <c r="AC84" s="263"/>
      <c r="AD84" s="263"/>
      <c r="AE84" s="263"/>
      <c r="AF84" s="263"/>
      <c r="AG84" s="264"/>
      <c r="AH84" s="265" t="s">
        <v>65</v>
      </c>
      <c r="AI84" s="266"/>
      <c r="AJ84" s="266"/>
      <c r="AK84" s="266"/>
      <c r="AL84" s="266"/>
      <c r="AM84" s="266"/>
      <c r="AN84" s="266"/>
      <c r="AO84" s="267"/>
    </row>
    <row r="85" spans="1:41" ht="12" customHeight="1">
      <c r="A85" s="269">
        <v>1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1"/>
      <c r="V85" s="249" t="s">
        <v>95</v>
      </c>
      <c r="W85" s="249"/>
      <c r="X85" s="249"/>
      <c r="Y85" s="249"/>
      <c r="Z85" s="272">
        <v>3</v>
      </c>
      <c r="AA85" s="272"/>
      <c r="AB85" s="272"/>
      <c r="AC85" s="272"/>
      <c r="AD85" s="272"/>
      <c r="AE85" s="272"/>
      <c r="AF85" s="272"/>
      <c r="AG85" s="272"/>
      <c r="AH85" s="272">
        <v>4</v>
      </c>
      <c r="AI85" s="272"/>
      <c r="AJ85" s="272"/>
      <c r="AK85" s="272"/>
      <c r="AL85" s="272"/>
      <c r="AM85" s="272"/>
      <c r="AN85" s="272"/>
      <c r="AO85" s="272"/>
    </row>
    <row r="86" spans="1:41" ht="24.75" customHeight="1">
      <c r="A86" s="248" t="s">
        <v>66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107</v>
      </c>
      <c r="W86" s="249"/>
      <c r="X86" s="249"/>
      <c r="Y86" s="249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</row>
    <row r="87" spans="1:41" ht="15" customHeight="1">
      <c r="A87" s="248" t="s">
        <v>67</v>
      </c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9" t="s">
        <v>96</v>
      </c>
      <c r="W87" s="249"/>
      <c r="X87" s="249"/>
      <c r="Y87" s="249"/>
      <c r="Z87" s="253" t="s">
        <v>117</v>
      </c>
      <c r="AA87" s="254"/>
      <c r="AB87" s="254"/>
      <c r="AC87" s="254"/>
      <c r="AD87" s="254"/>
      <c r="AE87" s="254"/>
      <c r="AF87" s="254"/>
      <c r="AG87" s="255"/>
      <c r="AH87" s="253" t="s">
        <v>118</v>
      </c>
      <c r="AI87" s="254"/>
      <c r="AJ87" s="254"/>
      <c r="AK87" s="254"/>
      <c r="AL87" s="254"/>
      <c r="AM87" s="254"/>
      <c r="AN87" s="254"/>
      <c r="AO87" s="255"/>
    </row>
    <row r="88" spans="1:41" ht="24" customHeight="1">
      <c r="A88" s="248" t="s">
        <v>114</v>
      </c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9" t="s">
        <v>97</v>
      </c>
      <c r="W88" s="249"/>
      <c r="X88" s="249"/>
      <c r="Y88" s="249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</row>
    <row r="89" spans="1:41" ht="12.75" customHeight="1">
      <c r="A89" s="248" t="s">
        <v>68</v>
      </c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9" t="s">
        <v>103</v>
      </c>
      <c r="W89" s="249"/>
      <c r="X89" s="249"/>
      <c r="Y89" s="249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</row>
    <row r="90" spans="1:41" ht="12.75" customHeight="1">
      <c r="A90" s="248" t="s">
        <v>69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9" t="s">
        <v>108</v>
      </c>
      <c r="W90" s="249"/>
      <c r="X90" s="249"/>
      <c r="Y90" s="249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</row>
    <row r="91" spans="1:41" ht="12" customHeight="1">
      <c r="A91" s="251" t="s">
        <v>106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52" t="s">
        <v>104</v>
      </c>
      <c r="W91" s="252"/>
      <c r="X91" s="252"/>
      <c r="Y91" s="252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</row>
    <row r="92" spans="1:41" ht="11.25" customHeight="1">
      <c r="A92" s="248" t="s">
        <v>70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 t="s">
        <v>105</v>
      </c>
      <c r="W92" s="249"/>
      <c r="X92" s="249"/>
      <c r="Y92" s="249"/>
      <c r="Z92" s="253" t="s">
        <v>117</v>
      </c>
      <c r="AA92" s="254"/>
      <c r="AB92" s="254"/>
      <c r="AC92" s="254"/>
      <c r="AD92" s="254"/>
      <c r="AE92" s="254"/>
      <c r="AF92" s="254"/>
      <c r="AG92" s="255"/>
      <c r="AH92" s="253" t="s">
        <v>118</v>
      </c>
      <c r="AI92" s="254"/>
      <c r="AJ92" s="254"/>
      <c r="AK92" s="254"/>
      <c r="AL92" s="254"/>
      <c r="AM92" s="254"/>
      <c r="AN92" s="254"/>
      <c r="AO92" s="255"/>
    </row>
    <row r="93" spans="1:41" ht="11.25" customHeight="1">
      <c r="A93" s="248" t="s">
        <v>71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9" t="s">
        <v>109</v>
      </c>
      <c r="W93" s="249"/>
      <c r="X93" s="249"/>
      <c r="Y93" s="249"/>
      <c r="Z93" s="253" t="s">
        <v>117</v>
      </c>
      <c r="AA93" s="254"/>
      <c r="AB93" s="254"/>
      <c r="AC93" s="254"/>
      <c r="AD93" s="254"/>
      <c r="AE93" s="254"/>
      <c r="AF93" s="254"/>
      <c r="AG93" s="255"/>
      <c r="AH93" s="253" t="s">
        <v>118</v>
      </c>
      <c r="AI93" s="254"/>
      <c r="AJ93" s="254"/>
      <c r="AK93" s="254"/>
      <c r="AL93" s="254"/>
      <c r="AM93" s="254"/>
      <c r="AN93" s="254"/>
      <c r="AO93" s="255"/>
    </row>
    <row r="94" spans="1:41" ht="12" customHeight="1">
      <c r="A94" s="248" t="s">
        <v>119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9" t="s">
        <v>111</v>
      </c>
      <c r="W94" s="249"/>
      <c r="X94" s="249"/>
      <c r="Y94" s="249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</row>
    <row r="95" spans="1:41" ht="11.25" customHeight="1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9" t="s">
        <v>110</v>
      </c>
      <c r="W95" s="249"/>
      <c r="X95" s="249"/>
      <c r="Y95" s="249"/>
      <c r="Z95" s="253" t="s">
        <v>117</v>
      </c>
      <c r="AA95" s="254"/>
      <c r="AB95" s="254"/>
      <c r="AC95" s="254"/>
      <c r="AD95" s="254"/>
      <c r="AE95" s="254"/>
      <c r="AF95" s="254"/>
      <c r="AG95" s="255"/>
      <c r="AH95" s="253" t="s">
        <v>118</v>
      </c>
      <c r="AI95" s="254"/>
      <c r="AJ95" s="254"/>
      <c r="AK95" s="254"/>
      <c r="AL95" s="254"/>
      <c r="AM95" s="254"/>
      <c r="AN95" s="254"/>
      <c r="AO95" s="255"/>
    </row>
    <row r="96" spans="1:41" ht="12" customHeight="1">
      <c r="A96" s="248" t="s">
        <v>72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9">
        <v>100</v>
      </c>
      <c r="W96" s="249"/>
      <c r="X96" s="249"/>
      <c r="Y96" s="249"/>
      <c r="Z96" s="253" t="s">
        <v>117</v>
      </c>
      <c r="AA96" s="254"/>
      <c r="AB96" s="254"/>
      <c r="AC96" s="254"/>
      <c r="AD96" s="254"/>
      <c r="AE96" s="254"/>
      <c r="AF96" s="254"/>
      <c r="AG96" s="255"/>
      <c r="AH96" s="253" t="s">
        <v>118</v>
      </c>
      <c r="AI96" s="254"/>
      <c r="AJ96" s="254"/>
      <c r="AK96" s="254"/>
      <c r="AL96" s="254"/>
      <c r="AM96" s="254"/>
      <c r="AN96" s="254"/>
      <c r="AO96" s="255"/>
    </row>
    <row r="97" spans="1:41" ht="12" customHeight="1">
      <c r="A97" s="251" t="s">
        <v>73</v>
      </c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52">
        <v>120</v>
      </c>
      <c r="W97" s="252"/>
      <c r="X97" s="252"/>
      <c r="Y97" s="252"/>
      <c r="Z97" s="253" t="s">
        <v>117</v>
      </c>
      <c r="AA97" s="254"/>
      <c r="AB97" s="254"/>
      <c r="AC97" s="254"/>
      <c r="AD97" s="254"/>
      <c r="AE97" s="254"/>
      <c r="AF97" s="254"/>
      <c r="AG97" s="255"/>
      <c r="AH97" s="253" t="s">
        <v>118</v>
      </c>
      <c r="AI97" s="254"/>
      <c r="AJ97" s="254"/>
      <c r="AK97" s="254"/>
      <c r="AL97" s="254"/>
      <c r="AM97" s="254"/>
      <c r="AN97" s="254"/>
      <c r="AO97" s="255"/>
    </row>
    <row r="98" spans="1:41" ht="12" customHeight="1">
      <c r="A98" s="248" t="s">
        <v>115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9">
        <v>130</v>
      </c>
      <c r="W98" s="249"/>
      <c r="X98" s="249"/>
      <c r="Y98" s="249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</row>
    <row r="99" spans="1:41" ht="12" customHeight="1">
      <c r="A99" s="248" t="s">
        <v>74</v>
      </c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9">
        <v>140</v>
      </c>
      <c r="W99" s="249"/>
      <c r="X99" s="249"/>
      <c r="Y99" s="249"/>
      <c r="Z99" s="253" t="s">
        <v>117</v>
      </c>
      <c r="AA99" s="254"/>
      <c r="AB99" s="254"/>
      <c r="AC99" s="254"/>
      <c r="AD99" s="254"/>
      <c r="AE99" s="254"/>
      <c r="AF99" s="254"/>
      <c r="AG99" s="255"/>
      <c r="AH99" s="253" t="s">
        <v>118</v>
      </c>
      <c r="AI99" s="254"/>
      <c r="AJ99" s="254"/>
      <c r="AK99" s="254"/>
      <c r="AL99" s="254"/>
      <c r="AM99" s="254"/>
      <c r="AN99" s="254"/>
      <c r="AO99" s="255"/>
    </row>
    <row r="100" spans="1:41" ht="12" customHeight="1">
      <c r="A100" s="251" t="s">
        <v>116</v>
      </c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52">
        <v>150</v>
      </c>
      <c r="W100" s="252"/>
      <c r="X100" s="252"/>
      <c r="Y100" s="252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</row>
    <row r="101" spans="1:41" ht="12" customHeight="1">
      <c r="A101" s="251" t="s">
        <v>75</v>
      </c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2">
        <v>160</v>
      </c>
      <c r="W101" s="252"/>
      <c r="X101" s="252"/>
      <c r="Y101" s="252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</row>
    <row r="102" spans="1:41" ht="6.75" customHeight="1"/>
    <row r="103" spans="1:41" ht="15" customHeight="1">
      <c r="B103" s="247" t="s">
        <v>91</v>
      </c>
      <c r="C103" s="247"/>
      <c r="D103" s="247"/>
      <c r="E103" s="247"/>
      <c r="F103" s="247"/>
      <c r="G103" s="247"/>
      <c r="H103" s="247"/>
      <c r="I103" s="247"/>
      <c r="Q103" s="246"/>
      <c r="R103" s="246"/>
      <c r="S103" s="246"/>
      <c r="T103" s="246"/>
      <c r="U103" s="246"/>
      <c r="V103" s="246"/>
      <c r="W103" s="246"/>
      <c r="X103" s="246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</row>
    <row r="104" spans="1:41">
      <c r="Q104" s="244" t="s">
        <v>94</v>
      </c>
      <c r="R104" s="245"/>
      <c r="S104" s="245"/>
      <c r="T104" s="245"/>
      <c r="U104" s="245"/>
      <c r="V104" s="245"/>
      <c r="W104" s="245"/>
      <c r="X104" s="245"/>
      <c r="AE104" s="244" t="s">
        <v>93</v>
      </c>
      <c r="AF104" s="245"/>
      <c r="AG104" s="245"/>
      <c r="AH104" s="245"/>
      <c r="AI104" s="245"/>
      <c r="AJ104" s="245"/>
      <c r="AK104" s="245"/>
      <c r="AL104" s="245"/>
      <c r="AM104" s="245"/>
      <c r="AN104" s="245"/>
    </row>
    <row r="105" spans="1:41" ht="4.5" customHeight="1"/>
    <row r="106" spans="1:41">
      <c r="B106" s="247" t="s">
        <v>92</v>
      </c>
      <c r="C106" s="247"/>
      <c r="D106" s="247"/>
      <c r="E106" s="247"/>
      <c r="F106" s="247"/>
      <c r="G106" s="247"/>
      <c r="H106" s="247"/>
      <c r="I106" s="247"/>
      <c r="Q106" s="246"/>
      <c r="R106" s="246"/>
      <c r="S106" s="246"/>
      <c r="T106" s="246"/>
      <c r="U106" s="246"/>
      <c r="V106" s="246"/>
      <c r="W106" s="246"/>
      <c r="X106" s="246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</row>
    <row r="107" spans="1:41">
      <c r="Q107" s="244" t="s">
        <v>94</v>
      </c>
      <c r="R107" s="245"/>
      <c r="S107" s="245"/>
      <c r="T107" s="245"/>
      <c r="U107" s="245"/>
      <c r="V107" s="245"/>
      <c r="W107" s="245"/>
      <c r="X107" s="245"/>
      <c r="AE107" s="244" t="s">
        <v>93</v>
      </c>
      <c r="AF107" s="245"/>
      <c r="AG107" s="245"/>
      <c r="AH107" s="245"/>
      <c r="AI107" s="245"/>
      <c r="AJ107" s="245"/>
      <c r="AK107" s="245"/>
      <c r="AL107" s="245"/>
      <c r="AM107" s="245"/>
      <c r="AN107" s="245"/>
    </row>
    <row r="108" spans="1:41" ht="7.5" customHeight="1"/>
  </sheetData>
  <mergeCells count="354"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Z28:AG28"/>
    <mergeCell ref="Z29:AG29"/>
    <mergeCell ref="AH28:AO28"/>
    <mergeCell ref="AH29:AO29"/>
    <mergeCell ref="Z27:AG27"/>
    <mergeCell ref="AH27:AO27"/>
    <mergeCell ref="Z32:AG32"/>
    <mergeCell ref="Z33:AG33"/>
    <mergeCell ref="AH32:AO32"/>
    <mergeCell ref="AH33:AO33"/>
    <mergeCell ref="Z30:AG30"/>
    <mergeCell ref="Z31:AG31"/>
    <mergeCell ref="AH30:AO30"/>
    <mergeCell ref="AH31:AO31"/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20:U20"/>
    <mergeCell ref="V20:Y20"/>
    <mergeCell ref="AB9:AG9"/>
    <mergeCell ref="AB10:AG10"/>
    <mergeCell ref="AB11:AG11"/>
    <mergeCell ref="Z19:AG19"/>
    <mergeCell ref="A7:F7"/>
    <mergeCell ref="A19:U19"/>
    <mergeCell ref="AB7:AG7"/>
    <mergeCell ref="AB8:AG8"/>
    <mergeCell ref="A8:D8"/>
    <mergeCell ref="A9:I9"/>
    <mergeCell ref="A10:K10"/>
    <mergeCell ref="A11:J11"/>
    <mergeCell ref="A21:U21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H23:AO23"/>
    <mergeCell ref="Z24:AG24"/>
    <mergeCell ref="Z25:AG25"/>
    <mergeCell ref="AH24:AO24"/>
    <mergeCell ref="AH25:AO25"/>
    <mergeCell ref="Z26:AG26"/>
    <mergeCell ref="AH26:AO26"/>
    <mergeCell ref="A12:K12"/>
    <mergeCell ref="V19:Y19"/>
    <mergeCell ref="V23:Y23"/>
    <mergeCell ref="A24:U24"/>
    <mergeCell ref="V24:Y24"/>
    <mergeCell ref="V22:Y22"/>
    <mergeCell ref="A22:U22"/>
    <mergeCell ref="A29:U29"/>
    <mergeCell ref="A30:U30"/>
    <mergeCell ref="V29:Y29"/>
    <mergeCell ref="V30:Y30"/>
    <mergeCell ref="A27:U27"/>
    <mergeCell ref="V27:Y27"/>
    <mergeCell ref="A28:U28"/>
    <mergeCell ref="V28:Y28"/>
    <mergeCell ref="A33:U33"/>
    <mergeCell ref="A34:U34"/>
    <mergeCell ref="V33:Y33"/>
    <mergeCell ref="V34:Y34"/>
    <mergeCell ref="A31:U31"/>
    <mergeCell ref="A32:U32"/>
    <mergeCell ref="V31:Y31"/>
    <mergeCell ref="V32:Y32"/>
    <mergeCell ref="A37:U37"/>
    <mergeCell ref="A38:U38"/>
    <mergeCell ref="V37:Y37"/>
    <mergeCell ref="V38:Y38"/>
    <mergeCell ref="A35:U35"/>
    <mergeCell ref="A36:U36"/>
    <mergeCell ref="V35:Y35"/>
    <mergeCell ref="V36:Y36"/>
    <mergeCell ref="A41:U41"/>
    <mergeCell ref="A42:U42"/>
    <mergeCell ref="V41:Y41"/>
    <mergeCell ref="V42:Y42"/>
    <mergeCell ref="A39:U39"/>
    <mergeCell ref="A40:U40"/>
    <mergeCell ref="V39:Y39"/>
    <mergeCell ref="V40:Y40"/>
    <mergeCell ref="A45:U45"/>
    <mergeCell ref="A46:U46"/>
    <mergeCell ref="V45:Y45"/>
    <mergeCell ref="V46:Y46"/>
    <mergeCell ref="A43:U43"/>
    <mergeCell ref="A44:U44"/>
    <mergeCell ref="V43:Y43"/>
    <mergeCell ref="V44:Y44"/>
    <mergeCell ref="A49:U49"/>
    <mergeCell ref="A50:U50"/>
    <mergeCell ref="V49:Y49"/>
    <mergeCell ref="V50:Y50"/>
    <mergeCell ref="A47:U47"/>
    <mergeCell ref="A48:U48"/>
    <mergeCell ref="V47:Y47"/>
    <mergeCell ref="V48:Y48"/>
    <mergeCell ref="A53:U53"/>
    <mergeCell ref="A54:U54"/>
    <mergeCell ref="V53:Y53"/>
    <mergeCell ref="V54:Y54"/>
    <mergeCell ref="A51:U51"/>
    <mergeCell ref="A52:U52"/>
    <mergeCell ref="V51:Y51"/>
    <mergeCell ref="V52:Y52"/>
    <mergeCell ref="A57:U57"/>
    <mergeCell ref="A58:U58"/>
    <mergeCell ref="V57:Y57"/>
    <mergeCell ref="V58:Y58"/>
    <mergeCell ref="A55:U55"/>
    <mergeCell ref="A56:U56"/>
    <mergeCell ref="V55:Y55"/>
    <mergeCell ref="V56:Y56"/>
    <mergeCell ref="A61:U61"/>
    <mergeCell ref="A62:U62"/>
    <mergeCell ref="V61:Y61"/>
    <mergeCell ref="V62:Y62"/>
    <mergeCell ref="A59:U59"/>
    <mergeCell ref="A60:U60"/>
    <mergeCell ref="V59:Y59"/>
    <mergeCell ref="V60:Y60"/>
    <mergeCell ref="A65:U65"/>
    <mergeCell ref="A66:U66"/>
    <mergeCell ref="V65:Y65"/>
    <mergeCell ref="V66:Y66"/>
    <mergeCell ref="A63:U63"/>
    <mergeCell ref="A64:U64"/>
    <mergeCell ref="V63:Y63"/>
    <mergeCell ref="V64:Y64"/>
    <mergeCell ref="A69:U69"/>
    <mergeCell ref="A70:U70"/>
    <mergeCell ref="V69:Y69"/>
    <mergeCell ref="V70:Y70"/>
    <mergeCell ref="A67:U67"/>
    <mergeCell ref="A68:U68"/>
    <mergeCell ref="V67:Y67"/>
    <mergeCell ref="V68:Y68"/>
    <mergeCell ref="A76:U76"/>
    <mergeCell ref="V75:Y75"/>
    <mergeCell ref="V76:Y76"/>
    <mergeCell ref="A73:U73"/>
    <mergeCell ref="A74:U74"/>
    <mergeCell ref="V73:Y73"/>
    <mergeCell ref="V74:Y74"/>
    <mergeCell ref="A75:U75"/>
    <mergeCell ref="A71:U71"/>
    <mergeCell ref="A72:U72"/>
    <mergeCell ref="V71:Y71"/>
    <mergeCell ref="V72:Y72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44:AG44"/>
    <mergeCell ref="Z45:AG45"/>
    <mergeCell ref="AH44:AO44"/>
    <mergeCell ref="AH45:AO45"/>
    <mergeCell ref="Z42:AG42"/>
    <mergeCell ref="Z43:AG43"/>
    <mergeCell ref="AH42:AO42"/>
    <mergeCell ref="AH43:AO43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52:AG52"/>
    <mergeCell ref="Z50:AG50"/>
    <mergeCell ref="Z51:AG51"/>
    <mergeCell ref="AH50:AO50"/>
    <mergeCell ref="AH51:AO51"/>
    <mergeCell ref="Z59:AG59"/>
    <mergeCell ref="AH58:AO58"/>
    <mergeCell ref="AH59:AO59"/>
    <mergeCell ref="Z64:AG64"/>
    <mergeCell ref="AH63:AO63"/>
    <mergeCell ref="Z53:AG53"/>
    <mergeCell ref="AH52:AO52"/>
    <mergeCell ref="AH53:AO53"/>
    <mergeCell ref="AH68:AO68"/>
    <mergeCell ref="Z56:AG56"/>
    <mergeCell ref="Z57:AG57"/>
    <mergeCell ref="AH56:AO56"/>
    <mergeCell ref="AH57:AO57"/>
    <mergeCell ref="Z54:AG54"/>
    <mergeCell ref="Z55:AG55"/>
    <mergeCell ref="AH54:AO54"/>
    <mergeCell ref="AH55:AO55"/>
    <mergeCell ref="Z58:AG58"/>
    <mergeCell ref="AH69:AO69"/>
    <mergeCell ref="Z66:AG66"/>
    <mergeCell ref="Z67:AG67"/>
    <mergeCell ref="AH66:AO66"/>
    <mergeCell ref="AH67:AO67"/>
    <mergeCell ref="Z76:AG76"/>
    <mergeCell ref="AH76:AO76"/>
    <mergeCell ref="Z60:AG60"/>
    <mergeCell ref="Z61:AG61"/>
    <mergeCell ref="AH60:AO60"/>
    <mergeCell ref="AH61:AO61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5:AG65"/>
    <mergeCell ref="AH64:AO64"/>
    <mergeCell ref="AH65:AO65"/>
    <mergeCell ref="Z62:AG62"/>
    <mergeCell ref="Z63:AG63"/>
    <mergeCell ref="AH62:AO62"/>
    <mergeCell ref="Z68:AG68"/>
    <mergeCell ref="Z69:AG69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6:U86"/>
    <mergeCell ref="V86:Y86"/>
    <mergeCell ref="Z86:AG86"/>
    <mergeCell ref="AH86:AO86"/>
    <mergeCell ref="A85:U85"/>
    <mergeCell ref="V85:Y85"/>
    <mergeCell ref="Z85:AG85"/>
    <mergeCell ref="AH85:AO85"/>
    <mergeCell ref="A84:U84"/>
    <mergeCell ref="Z87:AG87"/>
    <mergeCell ref="AH87:AO87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87:U87"/>
    <mergeCell ref="V87:Y87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4:U94"/>
    <mergeCell ref="V94:Y94"/>
    <mergeCell ref="Z94:AG94"/>
    <mergeCell ref="AH94:AO94"/>
    <mergeCell ref="A97:U97"/>
    <mergeCell ref="V97:Y97"/>
    <mergeCell ref="Z97:AG97"/>
    <mergeCell ref="AH97:AO97"/>
    <mergeCell ref="A96:U96"/>
    <mergeCell ref="V96:Y96"/>
    <mergeCell ref="Z96:AG96"/>
    <mergeCell ref="AH96:AO96"/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5:U95"/>
    <mergeCell ref="V95:Y95"/>
    <mergeCell ref="Z95:AG95"/>
    <mergeCell ref="AH95:AO95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8"/>
  <sheetViews>
    <sheetView showGridLines="0" workbookViewId="0"/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240" t="s">
        <v>125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</row>
    <row r="2" spans="1:41" ht="5.25" customHeight="1"/>
    <row r="3" spans="1:41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</row>
    <row r="4" spans="1:41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284" t="s">
        <v>1</v>
      </c>
      <c r="AI5" s="284"/>
      <c r="AJ5" s="284"/>
      <c r="AK5" s="284"/>
      <c r="AL5" s="284"/>
      <c r="AM5" s="284"/>
      <c r="AN5" s="284"/>
      <c r="AO5" s="284"/>
    </row>
    <row r="6" spans="1:41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4"/>
      <c r="AH6" s="284"/>
      <c r="AI6" s="284"/>
      <c r="AJ6" s="284"/>
      <c r="AK6" s="284"/>
      <c r="AL6" s="284"/>
      <c r="AM6" s="257" t="s">
        <v>77</v>
      </c>
      <c r="AN6" s="258"/>
      <c r="AO6" s="259"/>
    </row>
    <row r="7" spans="1:41" ht="15" customHeight="1">
      <c r="A7" s="285" t="s">
        <v>3</v>
      </c>
      <c r="B7" s="285"/>
      <c r="C7" s="285"/>
      <c r="D7" s="285"/>
      <c r="E7" s="285"/>
      <c r="F7" s="285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7"/>
      <c r="AB7" s="247" t="s">
        <v>4</v>
      </c>
      <c r="AC7" s="247"/>
      <c r="AD7" s="247"/>
      <c r="AE7" s="247"/>
      <c r="AF7" s="247"/>
      <c r="AG7" s="247"/>
      <c r="AH7" s="257"/>
      <c r="AI7" s="258"/>
      <c r="AJ7" s="258"/>
      <c r="AK7" s="258"/>
      <c r="AL7" s="258"/>
      <c r="AM7" s="258"/>
      <c r="AN7" s="258"/>
      <c r="AO7" s="259"/>
    </row>
    <row r="8" spans="1:41" ht="12.75" customHeight="1">
      <c r="A8" s="285" t="s">
        <v>5</v>
      </c>
      <c r="B8" s="285"/>
      <c r="C8" s="285"/>
      <c r="D8" s="285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47" t="s">
        <v>6</v>
      </c>
      <c r="AC8" s="247"/>
      <c r="AD8" s="247"/>
      <c r="AE8" s="247"/>
      <c r="AF8" s="247"/>
      <c r="AG8" s="247"/>
      <c r="AH8" s="284"/>
      <c r="AI8" s="284"/>
      <c r="AJ8" s="284"/>
      <c r="AK8" s="284"/>
      <c r="AL8" s="284"/>
      <c r="AM8" s="284"/>
      <c r="AN8" s="284"/>
      <c r="AO8" s="284"/>
    </row>
    <row r="9" spans="1:41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"/>
      <c r="AB9" s="247" t="s">
        <v>7</v>
      </c>
      <c r="AC9" s="247"/>
      <c r="AD9" s="247"/>
      <c r="AE9" s="247"/>
      <c r="AF9" s="247"/>
      <c r="AG9" s="247"/>
      <c r="AH9" s="284"/>
      <c r="AI9" s="284"/>
      <c r="AJ9" s="284"/>
      <c r="AK9" s="284"/>
      <c r="AL9" s="284"/>
      <c r="AM9" s="284"/>
      <c r="AN9" s="284"/>
      <c r="AO9" s="284"/>
    </row>
    <row r="10" spans="1:41" ht="15.75" customHeight="1">
      <c r="A10" s="285" t="s">
        <v>8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7"/>
      <c r="AB10" s="247" t="s">
        <v>9</v>
      </c>
      <c r="AC10" s="247"/>
      <c r="AD10" s="247"/>
      <c r="AE10" s="247"/>
      <c r="AF10" s="247"/>
      <c r="AG10" s="247"/>
      <c r="AH10" s="284"/>
      <c r="AI10" s="284"/>
      <c r="AJ10" s="284"/>
      <c r="AK10" s="284"/>
      <c r="AL10" s="284"/>
      <c r="AM10" s="284"/>
      <c r="AN10" s="284"/>
      <c r="AO10" s="284"/>
    </row>
    <row r="11" spans="1:41" ht="15.75" customHeight="1">
      <c r="A11" s="285" t="s">
        <v>10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7"/>
      <c r="AB11" s="247" t="s">
        <v>11</v>
      </c>
      <c r="AC11" s="247"/>
      <c r="AD11" s="247"/>
      <c r="AE11" s="247"/>
      <c r="AF11" s="247"/>
      <c r="AG11" s="247"/>
      <c r="AH11" s="284"/>
      <c r="AI11" s="284"/>
      <c r="AJ11" s="284"/>
      <c r="AK11" s="284"/>
      <c r="AL11" s="284"/>
      <c r="AM11" s="284"/>
      <c r="AN11" s="284"/>
      <c r="AO11" s="284"/>
    </row>
    <row r="12" spans="1:41" ht="13.5" customHeight="1">
      <c r="A12" s="285" t="s">
        <v>12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>
      <c r="A13" s="285" t="s">
        <v>13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247" t="s">
        <v>14</v>
      </c>
      <c r="B14" s="247"/>
      <c r="C14" s="2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>
      <c r="C15" s="12"/>
      <c r="D15" s="12"/>
      <c r="E15" s="12"/>
      <c r="F15" s="12"/>
      <c r="L15" s="5"/>
    </row>
    <row r="16" spans="1:41" ht="15" customHeight="1">
      <c r="A16" s="260" t="s">
        <v>15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 t="s">
        <v>80</v>
      </c>
      <c r="U16" s="260"/>
      <c r="V16" s="260"/>
      <c r="W16" s="260"/>
      <c r="X16" s="260"/>
      <c r="Y16" s="260"/>
      <c r="Z16" s="256" t="s">
        <v>79</v>
      </c>
      <c r="AA16" s="256"/>
      <c r="AB16" s="256"/>
      <c r="AC16" s="256"/>
      <c r="AD16" s="256"/>
      <c r="AE16" s="256"/>
      <c r="AF16" s="256"/>
      <c r="AG16" s="288"/>
      <c r="AH16" s="257">
        <v>1801006</v>
      </c>
      <c r="AI16" s="258"/>
      <c r="AJ16" s="258"/>
      <c r="AK16" s="258"/>
      <c r="AL16" s="258"/>
      <c r="AM16" s="258"/>
      <c r="AN16" s="258"/>
      <c r="AO16" s="259"/>
    </row>
    <row r="17" spans="1:41" ht="10.5" customHeight="1">
      <c r="A17" s="289" t="s">
        <v>17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</row>
    <row r="18" spans="1:41" ht="7.5" customHeight="1">
      <c r="G18" s="15"/>
      <c r="H18" s="15"/>
      <c r="L18" s="5"/>
    </row>
    <row r="19" spans="1:41" ht="30.75" customHeight="1">
      <c r="A19" s="273" t="s">
        <v>18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86" t="s">
        <v>19</v>
      </c>
      <c r="W19" s="286"/>
      <c r="X19" s="286"/>
      <c r="Y19" s="286"/>
      <c r="Z19" s="273" t="s">
        <v>20</v>
      </c>
      <c r="AA19" s="273"/>
      <c r="AB19" s="273"/>
      <c r="AC19" s="273"/>
      <c r="AD19" s="273"/>
      <c r="AE19" s="273"/>
      <c r="AF19" s="273"/>
      <c r="AG19" s="273"/>
      <c r="AH19" s="273" t="s">
        <v>78</v>
      </c>
      <c r="AI19" s="273"/>
      <c r="AJ19" s="273"/>
      <c r="AK19" s="273"/>
      <c r="AL19" s="273"/>
      <c r="AM19" s="273"/>
      <c r="AN19" s="273"/>
      <c r="AO19" s="273"/>
    </row>
    <row r="20" spans="1:41" ht="15" customHeight="1">
      <c r="A20" s="269">
        <v>1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1"/>
      <c r="V20" s="281" t="s">
        <v>95</v>
      </c>
      <c r="W20" s="281"/>
      <c r="X20" s="281"/>
      <c r="Y20" s="281"/>
      <c r="Z20" s="284">
        <v>3</v>
      </c>
      <c r="AA20" s="284"/>
      <c r="AB20" s="284"/>
      <c r="AC20" s="284"/>
      <c r="AD20" s="284"/>
      <c r="AE20" s="284"/>
      <c r="AF20" s="284"/>
      <c r="AG20" s="284"/>
      <c r="AH20" s="284">
        <v>4</v>
      </c>
      <c r="AI20" s="284"/>
      <c r="AJ20" s="284"/>
      <c r="AK20" s="284"/>
      <c r="AL20" s="284"/>
      <c r="AM20" s="284"/>
      <c r="AN20" s="284"/>
      <c r="AO20" s="284"/>
    </row>
    <row r="21" spans="1:41" ht="14.25" customHeight="1">
      <c r="A21" s="282" t="s">
        <v>21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1"/>
      <c r="W21" s="281"/>
      <c r="X21" s="281"/>
      <c r="Y21" s="281"/>
      <c r="Z21" s="278"/>
      <c r="AA21" s="278"/>
      <c r="AB21" s="278"/>
      <c r="AC21" s="278"/>
      <c r="AD21" s="278"/>
      <c r="AE21" s="278"/>
      <c r="AF21" s="278"/>
      <c r="AG21" s="278"/>
      <c r="AH21" s="279"/>
      <c r="AI21" s="279"/>
      <c r="AJ21" s="279"/>
      <c r="AK21" s="279"/>
      <c r="AL21" s="279"/>
      <c r="AM21" s="279"/>
      <c r="AN21" s="279"/>
      <c r="AO21" s="279"/>
    </row>
    <row r="22" spans="1:41" ht="15" customHeight="1">
      <c r="A22" s="290" t="s">
        <v>126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1" t="s">
        <v>96</v>
      </c>
      <c r="W22" s="281"/>
      <c r="X22" s="281"/>
      <c r="Y22" s="281"/>
      <c r="Z22" s="278"/>
      <c r="AA22" s="278"/>
      <c r="AB22" s="278"/>
      <c r="AC22" s="278"/>
      <c r="AD22" s="278"/>
      <c r="AE22" s="278"/>
      <c r="AF22" s="278"/>
      <c r="AG22" s="278"/>
      <c r="AH22" s="279"/>
      <c r="AI22" s="279"/>
      <c r="AJ22" s="279"/>
      <c r="AK22" s="279"/>
      <c r="AL22" s="279"/>
      <c r="AM22" s="279"/>
      <c r="AN22" s="279"/>
      <c r="AO22" s="279"/>
    </row>
    <row r="23" spans="1:41" ht="15" customHeight="1">
      <c r="A23" s="280" t="s">
        <v>23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  <c r="W23" s="281"/>
      <c r="X23" s="281"/>
      <c r="Y23" s="281"/>
      <c r="Z23" s="278"/>
      <c r="AA23" s="278"/>
      <c r="AB23" s="278"/>
      <c r="AC23" s="278"/>
      <c r="AD23" s="278"/>
      <c r="AE23" s="278"/>
      <c r="AF23" s="278"/>
      <c r="AG23" s="278"/>
      <c r="AH23" s="279"/>
      <c r="AI23" s="279"/>
      <c r="AJ23" s="279"/>
      <c r="AK23" s="279"/>
      <c r="AL23" s="279"/>
      <c r="AM23" s="279"/>
      <c r="AN23" s="279"/>
      <c r="AO23" s="279"/>
    </row>
    <row r="24" spans="1:41" ht="15" customHeight="1">
      <c r="A24" s="280" t="s">
        <v>81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1" t="s">
        <v>97</v>
      </c>
      <c r="W24" s="281"/>
      <c r="X24" s="281"/>
      <c r="Y24" s="281"/>
      <c r="Z24" s="278"/>
      <c r="AA24" s="278"/>
      <c r="AB24" s="278"/>
      <c r="AC24" s="278"/>
      <c r="AD24" s="278"/>
      <c r="AE24" s="278"/>
      <c r="AF24" s="278"/>
      <c r="AG24" s="278"/>
      <c r="AH24" s="279"/>
      <c r="AI24" s="279"/>
      <c r="AJ24" s="279"/>
      <c r="AK24" s="279"/>
      <c r="AL24" s="279"/>
      <c r="AM24" s="279"/>
      <c r="AN24" s="279"/>
      <c r="AO24" s="279"/>
    </row>
    <row r="25" spans="1:41" ht="15" customHeight="1">
      <c r="A25" s="280" t="s">
        <v>82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1" t="s">
        <v>98</v>
      </c>
      <c r="W25" s="281"/>
      <c r="X25" s="281"/>
      <c r="Y25" s="281"/>
      <c r="Z25" s="278"/>
      <c r="AA25" s="278"/>
      <c r="AB25" s="278"/>
      <c r="AC25" s="278"/>
      <c r="AD25" s="278"/>
      <c r="AE25" s="278"/>
      <c r="AF25" s="278"/>
      <c r="AG25" s="278"/>
      <c r="AH25" s="279"/>
      <c r="AI25" s="279"/>
      <c r="AJ25" s="279"/>
      <c r="AK25" s="279"/>
      <c r="AL25" s="279"/>
      <c r="AM25" s="279"/>
      <c r="AN25" s="279"/>
      <c r="AO25" s="279"/>
    </row>
    <row r="26" spans="1:41" ht="15" customHeight="1">
      <c r="A26" s="280" t="s">
        <v>83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1" t="s">
        <v>99</v>
      </c>
      <c r="W26" s="281"/>
      <c r="X26" s="281"/>
      <c r="Y26" s="281"/>
      <c r="Z26" s="253" t="s">
        <v>117</v>
      </c>
      <c r="AA26" s="254"/>
      <c r="AB26" s="254"/>
      <c r="AC26" s="254"/>
      <c r="AD26" s="254"/>
      <c r="AE26" s="254"/>
      <c r="AF26" s="254"/>
      <c r="AG26" s="255"/>
      <c r="AH26" s="253" t="s">
        <v>118</v>
      </c>
      <c r="AI26" s="254"/>
      <c r="AJ26" s="254"/>
      <c r="AK26" s="254"/>
      <c r="AL26" s="254"/>
      <c r="AM26" s="254"/>
      <c r="AN26" s="254"/>
      <c r="AO26" s="255"/>
    </row>
    <row r="27" spans="1:41" ht="15" customHeight="1">
      <c r="A27" s="280" t="s">
        <v>25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1"/>
      <c r="W27" s="281"/>
      <c r="X27" s="281"/>
      <c r="Y27" s="281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  <c r="AO27" s="279"/>
    </row>
    <row r="28" spans="1:41" ht="15" customHeight="1">
      <c r="A28" s="280" t="s">
        <v>26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1" t="s">
        <v>100</v>
      </c>
      <c r="W28" s="281"/>
      <c r="X28" s="281"/>
      <c r="Y28" s="281"/>
      <c r="Z28" s="278"/>
      <c r="AA28" s="278"/>
      <c r="AB28" s="278"/>
      <c r="AC28" s="278"/>
      <c r="AD28" s="278"/>
      <c r="AE28" s="278"/>
      <c r="AF28" s="278"/>
      <c r="AG28" s="278"/>
      <c r="AH28" s="279"/>
      <c r="AI28" s="279"/>
      <c r="AJ28" s="279"/>
      <c r="AK28" s="279"/>
      <c r="AL28" s="279"/>
      <c r="AM28" s="279"/>
      <c r="AN28" s="279"/>
      <c r="AO28" s="279"/>
    </row>
    <row r="29" spans="1:41" ht="15" customHeight="1">
      <c r="A29" s="280" t="s">
        <v>24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1" t="s">
        <v>101</v>
      </c>
      <c r="W29" s="281"/>
      <c r="X29" s="281"/>
      <c r="Y29" s="281"/>
      <c r="Z29" s="278"/>
      <c r="AA29" s="278"/>
      <c r="AB29" s="278"/>
      <c r="AC29" s="278"/>
      <c r="AD29" s="278"/>
      <c r="AE29" s="278"/>
      <c r="AF29" s="278"/>
      <c r="AG29" s="278"/>
      <c r="AH29" s="279"/>
      <c r="AI29" s="279"/>
      <c r="AJ29" s="279"/>
      <c r="AK29" s="279"/>
      <c r="AL29" s="279"/>
      <c r="AM29" s="279"/>
      <c r="AN29" s="279"/>
      <c r="AO29" s="279"/>
    </row>
    <row r="30" spans="1:41" ht="15" customHeight="1">
      <c r="A30" s="280" t="s">
        <v>27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1" t="s">
        <v>102</v>
      </c>
      <c r="W30" s="281"/>
      <c r="X30" s="281"/>
      <c r="Y30" s="281"/>
      <c r="Z30" s="253" t="s">
        <v>117</v>
      </c>
      <c r="AA30" s="254"/>
      <c r="AB30" s="254"/>
      <c r="AC30" s="254"/>
      <c r="AD30" s="254"/>
      <c r="AE30" s="254"/>
      <c r="AF30" s="254"/>
      <c r="AG30" s="255"/>
      <c r="AH30" s="253" t="s">
        <v>118</v>
      </c>
      <c r="AI30" s="254"/>
      <c r="AJ30" s="254"/>
      <c r="AK30" s="254"/>
      <c r="AL30" s="254"/>
      <c r="AM30" s="254"/>
      <c r="AN30" s="254"/>
      <c r="AO30" s="255"/>
    </row>
    <row r="31" spans="1:41" ht="15" customHeight="1">
      <c r="A31" s="280" t="s">
        <v>28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1" t="s">
        <v>103</v>
      </c>
      <c r="W31" s="281"/>
      <c r="X31" s="281"/>
      <c r="Y31" s="281"/>
      <c r="Z31" s="278"/>
      <c r="AA31" s="278"/>
      <c r="AB31" s="278"/>
      <c r="AC31" s="278"/>
      <c r="AD31" s="278"/>
      <c r="AE31" s="278"/>
      <c r="AF31" s="278"/>
      <c r="AG31" s="278"/>
      <c r="AH31" s="279"/>
      <c r="AI31" s="279"/>
      <c r="AJ31" s="279"/>
      <c r="AK31" s="279"/>
      <c r="AL31" s="279"/>
      <c r="AM31" s="279"/>
      <c r="AN31" s="279"/>
      <c r="AO31" s="279"/>
    </row>
    <row r="32" spans="1:41" ht="15" customHeight="1">
      <c r="A32" s="280" t="s">
        <v>29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1" t="s">
        <v>104</v>
      </c>
      <c r="W32" s="281"/>
      <c r="X32" s="281"/>
      <c r="Y32" s="281"/>
      <c r="Z32" s="278"/>
      <c r="AA32" s="278"/>
      <c r="AB32" s="278"/>
      <c r="AC32" s="278"/>
      <c r="AD32" s="278"/>
      <c r="AE32" s="278"/>
      <c r="AF32" s="278"/>
      <c r="AG32" s="278"/>
      <c r="AH32" s="279"/>
      <c r="AI32" s="279"/>
      <c r="AJ32" s="279"/>
      <c r="AK32" s="279"/>
      <c r="AL32" s="279"/>
      <c r="AM32" s="279"/>
      <c r="AN32" s="279"/>
      <c r="AO32" s="279"/>
    </row>
    <row r="33" spans="1:41" ht="15" customHeight="1">
      <c r="A33" s="282" t="s">
        <v>30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3" t="s">
        <v>105</v>
      </c>
      <c r="W33" s="283"/>
      <c r="X33" s="283"/>
      <c r="Y33" s="283"/>
      <c r="Z33" s="278"/>
      <c r="AA33" s="278"/>
      <c r="AB33" s="278"/>
      <c r="AC33" s="278"/>
      <c r="AD33" s="278"/>
      <c r="AE33" s="278"/>
      <c r="AF33" s="278"/>
      <c r="AG33" s="278"/>
      <c r="AH33" s="279"/>
      <c r="AI33" s="279"/>
      <c r="AJ33" s="279"/>
      <c r="AK33" s="279"/>
      <c r="AL33" s="279"/>
      <c r="AM33" s="279"/>
      <c r="AN33" s="279"/>
      <c r="AO33" s="279"/>
    </row>
    <row r="34" spans="1:41" ht="15" customHeight="1">
      <c r="A34" s="282" t="s">
        <v>31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1"/>
      <c r="W34" s="281"/>
      <c r="X34" s="281"/>
      <c r="Y34" s="281"/>
      <c r="Z34" s="278"/>
      <c r="AA34" s="278"/>
      <c r="AB34" s="278"/>
      <c r="AC34" s="278"/>
      <c r="AD34" s="278"/>
      <c r="AE34" s="278"/>
      <c r="AF34" s="278"/>
      <c r="AG34" s="278"/>
      <c r="AH34" s="279"/>
      <c r="AI34" s="279"/>
      <c r="AJ34" s="279"/>
      <c r="AK34" s="279"/>
      <c r="AL34" s="279"/>
      <c r="AM34" s="279"/>
      <c r="AN34" s="279"/>
      <c r="AO34" s="279"/>
    </row>
    <row r="35" spans="1:41" ht="15" customHeight="1">
      <c r="A35" s="280" t="s">
        <v>32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1">
        <v>100</v>
      </c>
      <c r="W35" s="281"/>
      <c r="X35" s="281"/>
      <c r="Y35" s="281"/>
      <c r="Z35" s="278"/>
      <c r="AA35" s="278"/>
      <c r="AB35" s="278"/>
      <c r="AC35" s="278"/>
      <c r="AD35" s="278"/>
      <c r="AE35" s="278"/>
      <c r="AF35" s="278"/>
      <c r="AG35" s="278"/>
      <c r="AH35" s="279"/>
      <c r="AI35" s="279"/>
      <c r="AJ35" s="279"/>
      <c r="AK35" s="279"/>
      <c r="AL35" s="279"/>
      <c r="AM35" s="279"/>
      <c r="AN35" s="279"/>
      <c r="AO35" s="279"/>
    </row>
    <row r="36" spans="1:41" ht="15" customHeight="1">
      <c r="A36" s="280" t="s">
        <v>33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1">
        <v>110</v>
      </c>
      <c r="W36" s="281"/>
      <c r="X36" s="281"/>
      <c r="Y36" s="281"/>
      <c r="Z36" s="278"/>
      <c r="AA36" s="278"/>
      <c r="AB36" s="278"/>
      <c r="AC36" s="278"/>
      <c r="AD36" s="278"/>
      <c r="AE36" s="278"/>
      <c r="AF36" s="278"/>
      <c r="AG36" s="278"/>
      <c r="AH36" s="279"/>
      <c r="AI36" s="279"/>
      <c r="AJ36" s="279"/>
      <c r="AK36" s="279"/>
      <c r="AL36" s="279"/>
      <c r="AM36" s="279"/>
      <c r="AN36" s="279"/>
      <c r="AO36" s="279"/>
    </row>
    <row r="37" spans="1:41" ht="15" customHeight="1">
      <c r="A37" s="280" t="s">
        <v>34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1">
        <v>130</v>
      </c>
      <c r="W37" s="281"/>
      <c r="X37" s="281"/>
      <c r="Y37" s="281"/>
      <c r="Z37" s="278"/>
      <c r="AA37" s="278"/>
      <c r="AB37" s="278"/>
      <c r="AC37" s="278"/>
      <c r="AD37" s="278"/>
      <c r="AE37" s="278"/>
      <c r="AF37" s="278"/>
      <c r="AG37" s="278"/>
      <c r="AH37" s="279"/>
      <c r="AI37" s="279"/>
      <c r="AJ37" s="279"/>
      <c r="AK37" s="279"/>
      <c r="AL37" s="279"/>
      <c r="AM37" s="279"/>
      <c r="AN37" s="279"/>
      <c r="AO37" s="279"/>
    </row>
    <row r="38" spans="1:41" ht="15" customHeight="1">
      <c r="A38" s="280" t="s">
        <v>35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1"/>
      <c r="W38" s="281"/>
      <c r="X38" s="281"/>
      <c r="Y38" s="281"/>
      <c r="Z38" s="278"/>
      <c r="AA38" s="278"/>
      <c r="AB38" s="278"/>
      <c r="AC38" s="278"/>
      <c r="AD38" s="278"/>
      <c r="AE38" s="278"/>
      <c r="AF38" s="278"/>
      <c r="AG38" s="278"/>
      <c r="AH38" s="279"/>
      <c r="AI38" s="279"/>
      <c r="AJ38" s="279"/>
      <c r="AK38" s="279"/>
      <c r="AL38" s="279"/>
      <c r="AM38" s="279"/>
      <c r="AN38" s="279"/>
      <c r="AO38" s="279"/>
    </row>
    <row r="39" spans="1:41" ht="15" customHeight="1">
      <c r="A39" s="280" t="s">
        <v>84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1">
        <v>160</v>
      </c>
      <c r="W39" s="281"/>
      <c r="X39" s="281"/>
      <c r="Y39" s="281"/>
      <c r="Z39" s="278"/>
      <c r="AA39" s="278"/>
      <c r="AB39" s="278"/>
      <c r="AC39" s="278"/>
      <c r="AD39" s="278"/>
      <c r="AE39" s="278"/>
      <c r="AF39" s="278"/>
      <c r="AG39" s="278"/>
      <c r="AH39" s="279"/>
      <c r="AI39" s="279"/>
      <c r="AJ39" s="279"/>
      <c r="AK39" s="279"/>
      <c r="AL39" s="279"/>
      <c r="AM39" s="279"/>
      <c r="AN39" s="279"/>
      <c r="AO39" s="279"/>
    </row>
    <row r="40" spans="1:41" ht="15" customHeight="1">
      <c r="A40" s="280" t="s">
        <v>82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1">
        <v>161</v>
      </c>
      <c r="W40" s="281"/>
      <c r="X40" s="281"/>
      <c r="Y40" s="281"/>
      <c r="Z40" s="278"/>
      <c r="AA40" s="278"/>
      <c r="AB40" s="278"/>
      <c r="AC40" s="278"/>
      <c r="AD40" s="278"/>
      <c r="AE40" s="278"/>
      <c r="AF40" s="278"/>
      <c r="AG40" s="278"/>
      <c r="AH40" s="279"/>
      <c r="AI40" s="279"/>
      <c r="AJ40" s="279"/>
      <c r="AK40" s="279"/>
      <c r="AL40" s="279"/>
      <c r="AM40" s="279"/>
      <c r="AN40" s="279"/>
      <c r="AO40" s="279"/>
    </row>
    <row r="41" spans="1:41" ht="15" customHeight="1">
      <c r="A41" s="280" t="s">
        <v>85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1">
        <v>162</v>
      </c>
      <c r="W41" s="281"/>
      <c r="X41" s="281"/>
      <c r="Y41" s="281"/>
      <c r="Z41" s="253" t="s">
        <v>117</v>
      </c>
      <c r="AA41" s="254"/>
      <c r="AB41" s="254"/>
      <c r="AC41" s="254"/>
      <c r="AD41" s="254"/>
      <c r="AE41" s="254"/>
      <c r="AF41" s="254"/>
      <c r="AG41" s="255"/>
      <c r="AH41" s="253" t="s">
        <v>118</v>
      </c>
      <c r="AI41" s="254"/>
      <c r="AJ41" s="254"/>
      <c r="AK41" s="254"/>
      <c r="AL41" s="254"/>
      <c r="AM41" s="254"/>
      <c r="AN41" s="254"/>
      <c r="AO41" s="255"/>
    </row>
    <row r="42" spans="1:41" ht="15" customHeight="1">
      <c r="A42" s="280" t="s">
        <v>36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1">
        <v>170</v>
      </c>
      <c r="W42" s="281"/>
      <c r="X42" s="281"/>
      <c r="Y42" s="28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  <c r="AO42" s="279"/>
    </row>
    <row r="43" spans="1:41" ht="15" customHeight="1">
      <c r="A43" s="280" t="s">
        <v>37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1">
        <v>210</v>
      </c>
      <c r="W43" s="281"/>
      <c r="X43" s="281"/>
      <c r="Y43" s="281"/>
      <c r="Z43" s="278"/>
      <c r="AA43" s="278"/>
      <c r="AB43" s="278"/>
      <c r="AC43" s="278"/>
      <c r="AD43" s="278"/>
      <c r="AE43" s="278"/>
      <c r="AF43" s="278"/>
      <c r="AG43" s="278"/>
      <c r="AH43" s="279"/>
      <c r="AI43" s="279"/>
      <c r="AJ43" s="279"/>
      <c r="AK43" s="279"/>
      <c r="AL43" s="279"/>
      <c r="AM43" s="279"/>
      <c r="AN43" s="279"/>
      <c r="AO43" s="279"/>
    </row>
    <row r="44" spans="1:41" ht="15" customHeight="1">
      <c r="A44" s="280" t="s">
        <v>38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1">
        <v>220</v>
      </c>
      <c r="W44" s="281"/>
      <c r="X44" s="281"/>
      <c r="Y44" s="281"/>
      <c r="Z44" s="278"/>
      <c r="AA44" s="278"/>
      <c r="AB44" s="278"/>
      <c r="AC44" s="278"/>
      <c r="AD44" s="278"/>
      <c r="AE44" s="278"/>
      <c r="AF44" s="278"/>
      <c r="AG44" s="278"/>
      <c r="AH44" s="279"/>
      <c r="AI44" s="279"/>
      <c r="AJ44" s="279"/>
      <c r="AK44" s="279"/>
      <c r="AL44" s="279"/>
      <c r="AM44" s="279"/>
      <c r="AN44" s="279"/>
      <c r="AO44" s="279"/>
    </row>
    <row r="45" spans="1:41" ht="15" customHeight="1">
      <c r="A45" s="280" t="s">
        <v>39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1"/>
      <c r="W45" s="281"/>
      <c r="X45" s="281"/>
      <c r="Y45" s="281"/>
      <c r="Z45" s="278"/>
      <c r="AA45" s="278"/>
      <c r="AB45" s="278"/>
      <c r="AC45" s="278"/>
      <c r="AD45" s="278"/>
      <c r="AE45" s="278"/>
      <c r="AF45" s="278"/>
      <c r="AG45" s="278"/>
      <c r="AH45" s="279"/>
      <c r="AI45" s="279"/>
      <c r="AJ45" s="279"/>
      <c r="AK45" s="279"/>
      <c r="AL45" s="279"/>
      <c r="AM45" s="279"/>
      <c r="AN45" s="279"/>
      <c r="AO45" s="279"/>
    </row>
    <row r="46" spans="1:41" ht="15" customHeight="1">
      <c r="A46" s="280" t="s">
        <v>86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1">
        <v>230</v>
      </c>
      <c r="W46" s="281"/>
      <c r="X46" s="281"/>
      <c r="Y46" s="281"/>
      <c r="Z46" s="278"/>
      <c r="AA46" s="278"/>
      <c r="AB46" s="278"/>
      <c r="AC46" s="278"/>
      <c r="AD46" s="278"/>
      <c r="AE46" s="278"/>
      <c r="AF46" s="278"/>
      <c r="AG46" s="278"/>
      <c r="AH46" s="279"/>
      <c r="AI46" s="279"/>
      <c r="AJ46" s="279"/>
      <c r="AK46" s="279"/>
      <c r="AL46" s="279"/>
      <c r="AM46" s="279"/>
      <c r="AN46" s="279"/>
      <c r="AO46" s="279"/>
    </row>
    <row r="47" spans="1:41" ht="15" customHeight="1">
      <c r="A47" s="280" t="s">
        <v>87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1">
        <v>231</v>
      </c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  <c r="AO47" s="279"/>
    </row>
    <row r="48" spans="1:41" ht="15" customHeight="1">
      <c r="A48" s="280" t="s">
        <v>88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>
        <v>240</v>
      </c>
      <c r="W48" s="281"/>
      <c r="X48" s="281"/>
      <c r="Y48" s="281"/>
      <c r="Z48" s="278"/>
      <c r="AA48" s="278"/>
      <c r="AB48" s="278"/>
      <c r="AC48" s="278"/>
      <c r="AD48" s="278"/>
      <c r="AE48" s="278"/>
      <c r="AF48" s="278"/>
      <c r="AG48" s="278"/>
      <c r="AH48" s="279"/>
      <c r="AI48" s="279"/>
      <c r="AJ48" s="279"/>
      <c r="AK48" s="279"/>
      <c r="AL48" s="279"/>
      <c r="AM48" s="279"/>
      <c r="AN48" s="279"/>
      <c r="AO48" s="279"/>
    </row>
    <row r="49" spans="1:41" ht="15" customHeight="1">
      <c r="A49" s="280" t="s">
        <v>40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>
        <v>250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279"/>
      <c r="AI49" s="279"/>
      <c r="AJ49" s="279"/>
      <c r="AK49" s="279"/>
      <c r="AL49" s="279"/>
      <c r="AM49" s="279"/>
      <c r="AN49" s="279"/>
      <c r="AO49" s="279"/>
    </row>
    <row r="50" spans="1:41" ht="15" customHeight="1">
      <c r="A50" s="282" t="s">
        <v>41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3">
        <v>260</v>
      </c>
      <c r="W50" s="283"/>
      <c r="X50" s="283"/>
      <c r="Y50" s="283"/>
      <c r="Z50" s="278"/>
      <c r="AA50" s="278"/>
      <c r="AB50" s="278"/>
      <c r="AC50" s="278"/>
      <c r="AD50" s="278"/>
      <c r="AE50" s="278"/>
      <c r="AF50" s="278"/>
      <c r="AG50" s="278"/>
      <c r="AH50" s="279"/>
      <c r="AI50" s="279"/>
      <c r="AJ50" s="279"/>
      <c r="AK50" s="279"/>
      <c r="AL50" s="279"/>
      <c r="AM50" s="279"/>
      <c r="AN50" s="279"/>
      <c r="AO50" s="279"/>
    </row>
    <row r="51" spans="1:41" ht="15" customHeight="1">
      <c r="A51" s="282" t="s">
        <v>42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3">
        <v>270</v>
      </c>
      <c r="W51" s="283"/>
      <c r="X51" s="283"/>
      <c r="Y51" s="283"/>
      <c r="Z51" s="278"/>
      <c r="AA51" s="278"/>
      <c r="AB51" s="278"/>
      <c r="AC51" s="278"/>
      <c r="AD51" s="278"/>
      <c r="AE51" s="278"/>
      <c r="AF51" s="278"/>
      <c r="AG51" s="278"/>
      <c r="AH51" s="279"/>
      <c r="AI51" s="279"/>
      <c r="AJ51" s="279"/>
      <c r="AK51" s="279"/>
      <c r="AL51" s="279"/>
      <c r="AM51" s="279"/>
      <c r="AN51" s="279"/>
      <c r="AO51" s="279"/>
    </row>
    <row r="52" spans="1:41" ht="15" customHeight="1">
      <c r="A52" s="282" t="s">
        <v>43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3">
        <v>275</v>
      </c>
      <c r="W52" s="283"/>
      <c r="X52" s="283"/>
      <c r="Y52" s="283"/>
      <c r="Z52" s="278"/>
      <c r="AA52" s="278"/>
      <c r="AB52" s="278"/>
      <c r="AC52" s="278"/>
      <c r="AD52" s="278"/>
      <c r="AE52" s="278"/>
      <c r="AF52" s="278"/>
      <c r="AG52" s="278"/>
      <c r="AH52" s="279"/>
      <c r="AI52" s="279"/>
      <c r="AJ52" s="279"/>
      <c r="AK52" s="279"/>
      <c r="AL52" s="279"/>
      <c r="AM52" s="279"/>
      <c r="AN52" s="279"/>
      <c r="AO52" s="279"/>
    </row>
    <row r="53" spans="1:41" ht="15" customHeight="1">
      <c r="A53" s="282" t="s">
        <v>44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>
        <v>280</v>
      </c>
      <c r="W53" s="283"/>
      <c r="X53" s="283"/>
      <c r="Y53" s="283"/>
      <c r="Z53" s="278"/>
      <c r="AA53" s="278"/>
      <c r="AB53" s="278"/>
      <c r="AC53" s="278"/>
      <c r="AD53" s="278"/>
      <c r="AE53" s="278"/>
      <c r="AF53" s="278"/>
      <c r="AG53" s="278"/>
      <c r="AH53" s="279"/>
      <c r="AI53" s="279"/>
      <c r="AJ53" s="279"/>
      <c r="AK53" s="279"/>
      <c r="AL53" s="279"/>
      <c r="AM53" s="279"/>
      <c r="AN53" s="279"/>
      <c r="AO53" s="279"/>
    </row>
    <row r="54" spans="1:41" ht="26.25" customHeight="1">
      <c r="A54" s="265" t="s">
        <v>45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7"/>
      <c r="V54" s="265" t="s">
        <v>19</v>
      </c>
      <c r="W54" s="266"/>
      <c r="X54" s="266"/>
      <c r="Y54" s="267"/>
      <c r="Z54" s="265" t="s">
        <v>20</v>
      </c>
      <c r="AA54" s="266"/>
      <c r="AB54" s="266"/>
      <c r="AC54" s="266"/>
      <c r="AD54" s="266"/>
      <c r="AE54" s="266"/>
      <c r="AF54" s="266"/>
      <c r="AG54" s="267"/>
      <c r="AH54" s="273" t="s">
        <v>78</v>
      </c>
      <c r="AI54" s="273"/>
      <c r="AJ54" s="273"/>
      <c r="AK54" s="273"/>
      <c r="AL54" s="273"/>
      <c r="AM54" s="273"/>
      <c r="AN54" s="273"/>
      <c r="AO54" s="273"/>
    </row>
    <row r="55" spans="1:41" ht="12.75" customHeight="1">
      <c r="A55" s="269">
        <v>1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1"/>
      <c r="V55" s="281">
        <v>2</v>
      </c>
      <c r="W55" s="281"/>
      <c r="X55" s="281"/>
      <c r="Y55" s="281"/>
      <c r="Z55" s="253">
        <v>3</v>
      </c>
      <c r="AA55" s="254"/>
      <c r="AB55" s="254"/>
      <c r="AC55" s="254"/>
      <c r="AD55" s="254"/>
      <c r="AE55" s="254"/>
      <c r="AF55" s="254"/>
      <c r="AG55" s="255"/>
      <c r="AH55" s="253">
        <v>4</v>
      </c>
      <c r="AI55" s="254"/>
      <c r="AJ55" s="254"/>
      <c r="AK55" s="254"/>
      <c r="AL55" s="254"/>
      <c r="AM55" s="254"/>
      <c r="AN55" s="254"/>
      <c r="AO55" s="255"/>
    </row>
    <row r="56" spans="1:41" ht="12.75" customHeight="1">
      <c r="A56" s="282" t="s">
        <v>46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1"/>
      <c r="W56" s="281"/>
      <c r="X56" s="281"/>
      <c r="Y56" s="28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  <c r="AO56" s="279"/>
    </row>
    <row r="57" spans="1:41" ht="12" customHeight="1">
      <c r="A57" s="280" t="s">
        <v>47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1">
        <v>300</v>
      </c>
      <c r="W57" s="281"/>
      <c r="X57" s="281"/>
      <c r="Y57" s="281"/>
      <c r="Z57" s="278"/>
      <c r="AA57" s="278"/>
      <c r="AB57" s="278"/>
      <c r="AC57" s="278"/>
      <c r="AD57" s="278"/>
      <c r="AE57" s="278"/>
      <c r="AF57" s="278"/>
      <c r="AG57" s="278"/>
      <c r="AH57" s="279"/>
      <c r="AI57" s="279"/>
      <c r="AJ57" s="279"/>
      <c r="AK57" s="279"/>
      <c r="AL57" s="279"/>
      <c r="AM57" s="279"/>
      <c r="AN57" s="279"/>
      <c r="AO57" s="279"/>
    </row>
    <row r="58" spans="1:41" ht="12" customHeight="1">
      <c r="A58" s="280" t="s">
        <v>48</v>
      </c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1">
        <v>320</v>
      </c>
      <c r="W58" s="281"/>
      <c r="X58" s="281"/>
      <c r="Y58" s="281"/>
      <c r="Z58" s="278"/>
      <c r="AA58" s="278"/>
      <c r="AB58" s="278"/>
      <c r="AC58" s="278"/>
      <c r="AD58" s="278"/>
      <c r="AE58" s="278"/>
      <c r="AF58" s="278"/>
      <c r="AG58" s="278"/>
      <c r="AH58" s="279"/>
      <c r="AI58" s="279"/>
      <c r="AJ58" s="279"/>
      <c r="AK58" s="279"/>
      <c r="AL58" s="279"/>
      <c r="AM58" s="279"/>
      <c r="AN58" s="279"/>
      <c r="AO58" s="279"/>
    </row>
    <row r="59" spans="1:41" ht="12" customHeight="1">
      <c r="A59" s="280" t="s">
        <v>49</v>
      </c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1">
        <v>340</v>
      </c>
      <c r="W59" s="281"/>
      <c r="X59" s="281"/>
      <c r="Y59" s="281"/>
      <c r="Z59" s="278"/>
      <c r="AA59" s="278"/>
      <c r="AB59" s="278"/>
      <c r="AC59" s="278"/>
      <c r="AD59" s="278"/>
      <c r="AE59" s="278"/>
      <c r="AF59" s="278"/>
      <c r="AG59" s="278"/>
      <c r="AH59" s="279"/>
      <c r="AI59" s="279"/>
      <c r="AJ59" s="279"/>
      <c r="AK59" s="279"/>
      <c r="AL59" s="279"/>
      <c r="AM59" s="279"/>
      <c r="AN59" s="279"/>
      <c r="AO59" s="279"/>
    </row>
    <row r="60" spans="1:41" ht="12" customHeight="1">
      <c r="A60" s="280" t="s">
        <v>50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1">
        <v>350</v>
      </c>
      <c r="W60" s="281"/>
      <c r="X60" s="281"/>
      <c r="Y60" s="281"/>
      <c r="Z60" s="278"/>
      <c r="AA60" s="278"/>
      <c r="AB60" s="278"/>
      <c r="AC60" s="278"/>
      <c r="AD60" s="278"/>
      <c r="AE60" s="278"/>
      <c r="AF60" s="278"/>
      <c r="AG60" s="278"/>
      <c r="AH60" s="279"/>
      <c r="AI60" s="279"/>
      <c r="AJ60" s="279"/>
      <c r="AK60" s="279"/>
      <c r="AL60" s="279"/>
      <c r="AM60" s="279"/>
      <c r="AN60" s="279"/>
      <c r="AO60" s="279"/>
    </row>
    <row r="61" spans="1:41" ht="12" customHeight="1">
      <c r="A61" s="280" t="s">
        <v>51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1">
        <v>360</v>
      </c>
      <c r="W61" s="281"/>
      <c r="X61" s="281"/>
      <c r="Y61" s="281"/>
      <c r="Z61" s="253" t="s">
        <v>117</v>
      </c>
      <c r="AA61" s="254"/>
      <c r="AB61" s="254"/>
      <c r="AC61" s="254"/>
      <c r="AD61" s="254"/>
      <c r="AE61" s="254"/>
      <c r="AF61" s="254"/>
      <c r="AG61" s="255"/>
      <c r="AH61" s="253" t="s">
        <v>118</v>
      </c>
      <c r="AI61" s="254"/>
      <c r="AJ61" s="254"/>
      <c r="AK61" s="254"/>
      <c r="AL61" s="254"/>
      <c r="AM61" s="254"/>
      <c r="AN61" s="254"/>
      <c r="AO61" s="255"/>
    </row>
    <row r="62" spans="1:41" ht="12" customHeight="1">
      <c r="A62" s="282" t="s">
        <v>30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3">
        <v>380</v>
      </c>
      <c r="W62" s="283"/>
      <c r="X62" s="283"/>
      <c r="Y62" s="283"/>
      <c r="Z62" s="278"/>
      <c r="AA62" s="278"/>
      <c r="AB62" s="278"/>
      <c r="AC62" s="278"/>
      <c r="AD62" s="278"/>
      <c r="AE62" s="278"/>
      <c r="AF62" s="278"/>
      <c r="AG62" s="278"/>
      <c r="AH62" s="279"/>
      <c r="AI62" s="279"/>
      <c r="AJ62" s="279"/>
      <c r="AK62" s="279"/>
      <c r="AL62" s="279"/>
      <c r="AM62" s="279"/>
      <c r="AN62" s="279"/>
      <c r="AO62" s="279"/>
    </row>
    <row r="63" spans="1:41" ht="25.5" customHeight="1">
      <c r="A63" s="282" t="s">
        <v>52</v>
      </c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3">
        <v>430</v>
      </c>
      <c r="W63" s="283"/>
      <c r="X63" s="283"/>
      <c r="Y63" s="283"/>
      <c r="Z63" s="278"/>
      <c r="AA63" s="278"/>
      <c r="AB63" s="278"/>
      <c r="AC63" s="278"/>
      <c r="AD63" s="278"/>
      <c r="AE63" s="278"/>
      <c r="AF63" s="278"/>
      <c r="AG63" s="278"/>
      <c r="AH63" s="279"/>
      <c r="AI63" s="279"/>
      <c r="AJ63" s="279"/>
      <c r="AK63" s="279"/>
      <c r="AL63" s="279"/>
      <c r="AM63" s="279"/>
      <c r="AN63" s="279"/>
      <c r="AO63" s="279"/>
    </row>
    <row r="64" spans="1:41" ht="12" customHeight="1">
      <c r="A64" s="282" t="s">
        <v>53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3">
        <v>480</v>
      </c>
      <c r="W64" s="283"/>
      <c r="X64" s="283"/>
      <c r="Y64" s="283"/>
      <c r="Z64" s="278"/>
      <c r="AA64" s="278"/>
      <c r="AB64" s="278"/>
      <c r="AC64" s="278"/>
      <c r="AD64" s="278"/>
      <c r="AE64" s="278"/>
      <c r="AF64" s="278"/>
      <c r="AG64" s="278"/>
      <c r="AH64" s="279"/>
      <c r="AI64" s="279"/>
      <c r="AJ64" s="279"/>
      <c r="AK64" s="279"/>
      <c r="AL64" s="279"/>
      <c r="AM64" s="279"/>
      <c r="AN64" s="279"/>
      <c r="AO64" s="279"/>
    </row>
    <row r="65" spans="1:41" ht="12" customHeight="1">
      <c r="A65" s="282" t="s">
        <v>54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3"/>
      <c r="W65" s="283"/>
      <c r="X65" s="283"/>
      <c r="Y65" s="283"/>
      <c r="Z65" s="278"/>
      <c r="AA65" s="278"/>
      <c r="AB65" s="278"/>
      <c r="AC65" s="278"/>
      <c r="AD65" s="278"/>
      <c r="AE65" s="278"/>
      <c r="AF65" s="278"/>
      <c r="AG65" s="278"/>
      <c r="AH65" s="279"/>
      <c r="AI65" s="279"/>
      <c r="AJ65" s="279"/>
      <c r="AK65" s="279"/>
      <c r="AL65" s="279"/>
      <c r="AM65" s="279"/>
      <c r="AN65" s="279"/>
      <c r="AO65" s="279"/>
    </row>
    <row r="66" spans="1:41" ht="12" customHeight="1">
      <c r="A66" s="280" t="s">
        <v>55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1">
        <v>500</v>
      </c>
      <c r="W66" s="281"/>
      <c r="X66" s="281"/>
      <c r="Y66" s="281"/>
      <c r="Z66" s="278"/>
      <c r="AA66" s="278"/>
      <c r="AB66" s="278"/>
      <c r="AC66" s="278"/>
      <c r="AD66" s="278"/>
      <c r="AE66" s="278"/>
      <c r="AF66" s="278"/>
      <c r="AG66" s="278"/>
      <c r="AH66" s="279"/>
      <c r="AI66" s="279"/>
      <c r="AJ66" s="279"/>
      <c r="AK66" s="279"/>
      <c r="AL66" s="279"/>
      <c r="AM66" s="279"/>
      <c r="AN66" s="279"/>
      <c r="AO66" s="279"/>
    </row>
    <row r="67" spans="1:41" ht="13.5" customHeight="1">
      <c r="A67" s="280" t="s">
        <v>56</v>
      </c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1">
        <v>510</v>
      </c>
      <c r="W67" s="281"/>
      <c r="X67" s="281"/>
      <c r="Y67" s="281"/>
      <c r="Z67" s="278"/>
      <c r="AA67" s="278"/>
      <c r="AB67" s="278"/>
      <c r="AC67" s="278"/>
      <c r="AD67" s="278"/>
      <c r="AE67" s="278"/>
      <c r="AF67" s="278"/>
      <c r="AG67" s="278"/>
      <c r="AH67" s="279"/>
      <c r="AI67" s="279"/>
      <c r="AJ67" s="279"/>
      <c r="AK67" s="279"/>
      <c r="AL67" s="279"/>
      <c r="AM67" s="279"/>
      <c r="AN67" s="279"/>
      <c r="AO67" s="279"/>
    </row>
    <row r="68" spans="1:41" ht="12" customHeight="1">
      <c r="A68" s="280" t="s">
        <v>57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1">
        <v>530</v>
      </c>
      <c r="W68" s="281"/>
      <c r="X68" s="281"/>
      <c r="Y68" s="281"/>
      <c r="Z68" s="278"/>
      <c r="AA68" s="278"/>
      <c r="AB68" s="278"/>
      <c r="AC68" s="278"/>
      <c r="AD68" s="278"/>
      <c r="AE68" s="278"/>
      <c r="AF68" s="278"/>
      <c r="AG68" s="278"/>
      <c r="AH68" s="279"/>
      <c r="AI68" s="279"/>
      <c r="AJ68" s="279"/>
      <c r="AK68" s="279"/>
      <c r="AL68" s="279"/>
      <c r="AM68" s="279"/>
      <c r="AN68" s="279"/>
      <c r="AO68" s="279"/>
    </row>
    <row r="69" spans="1:41" ht="12" customHeight="1">
      <c r="A69" s="280" t="s">
        <v>58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1"/>
      <c r="W69" s="281"/>
      <c r="X69" s="281"/>
      <c r="Y69" s="281"/>
      <c r="Z69" s="278"/>
      <c r="AA69" s="278"/>
      <c r="AB69" s="278"/>
      <c r="AC69" s="278"/>
      <c r="AD69" s="278"/>
      <c r="AE69" s="278"/>
      <c r="AF69" s="278"/>
      <c r="AG69" s="278"/>
      <c r="AH69" s="279"/>
      <c r="AI69" s="279"/>
      <c r="AJ69" s="279"/>
      <c r="AK69" s="279"/>
      <c r="AL69" s="279"/>
      <c r="AM69" s="279"/>
      <c r="AN69" s="279"/>
      <c r="AO69" s="279"/>
    </row>
    <row r="70" spans="1:41" ht="12" customHeight="1">
      <c r="A70" s="280" t="s">
        <v>120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1">
        <v>550</v>
      </c>
      <c r="W70" s="281"/>
      <c r="X70" s="281"/>
      <c r="Y70" s="281"/>
      <c r="Z70" s="278"/>
      <c r="AA70" s="278"/>
      <c r="AB70" s="278"/>
      <c r="AC70" s="278"/>
      <c r="AD70" s="278"/>
      <c r="AE70" s="278"/>
      <c r="AF70" s="278"/>
      <c r="AG70" s="278"/>
      <c r="AH70" s="279"/>
      <c r="AI70" s="279"/>
      <c r="AJ70" s="279"/>
      <c r="AK70" s="279"/>
      <c r="AL70" s="279"/>
      <c r="AM70" s="279"/>
      <c r="AN70" s="279"/>
      <c r="AO70" s="279"/>
    </row>
    <row r="71" spans="1:41" ht="12" customHeight="1">
      <c r="A71" s="280" t="s">
        <v>121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1">
        <v>570</v>
      </c>
      <c r="W71" s="281"/>
      <c r="X71" s="281"/>
      <c r="Y71" s="281"/>
      <c r="Z71" s="278"/>
      <c r="AA71" s="278"/>
      <c r="AB71" s="278"/>
      <c r="AC71" s="278"/>
      <c r="AD71" s="278"/>
      <c r="AE71" s="278"/>
      <c r="AF71" s="278"/>
      <c r="AG71" s="278"/>
      <c r="AH71" s="279"/>
      <c r="AI71" s="279"/>
      <c r="AJ71" s="279"/>
      <c r="AK71" s="279"/>
      <c r="AL71" s="279"/>
      <c r="AM71" s="279"/>
      <c r="AN71" s="279"/>
      <c r="AO71" s="279"/>
    </row>
    <row r="72" spans="1:41" ht="12" customHeight="1">
      <c r="A72" s="280" t="s">
        <v>122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1">
        <v>580</v>
      </c>
      <c r="W72" s="281"/>
      <c r="X72" s="281"/>
      <c r="Y72" s="281"/>
      <c r="Z72" s="278"/>
      <c r="AA72" s="278"/>
      <c r="AB72" s="278"/>
      <c r="AC72" s="278"/>
      <c r="AD72" s="278"/>
      <c r="AE72" s="278"/>
      <c r="AF72" s="278"/>
      <c r="AG72" s="278"/>
      <c r="AH72" s="279"/>
      <c r="AI72" s="279"/>
      <c r="AJ72" s="279"/>
      <c r="AK72" s="279"/>
      <c r="AL72" s="279"/>
      <c r="AM72" s="279"/>
      <c r="AN72" s="279"/>
      <c r="AO72" s="279"/>
    </row>
    <row r="73" spans="1:41" ht="12" customHeight="1">
      <c r="A73" s="280" t="s">
        <v>59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1">
        <v>610</v>
      </c>
      <c r="W73" s="281"/>
      <c r="X73" s="281"/>
      <c r="Y73" s="281"/>
      <c r="Z73" s="278"/>
      <c r="AA73" s="278"/>
      <c r="AB73" s="278"/>
      <c r="AC73" s="278"/>
      <c r="AD73" s="278"/>
      <c r="AE73" s="278"/>
      <c r="AF73" s="278"/>
      <c r="AG73" s="278"/>
      <c r="AH73" s="279"/>
      <c r="AI73" s="279"/>
      <c r="AJ73" s="279"/>
      <c r="AK73" s="279"/>
      <c r="AL73" s="279"/>
      <c r="AM73" s="279"/>
      <c r="AN73" s="279"/>
      <c r="AO73" s="279"/>
    </row>
    <row r="74" spans="1:41" ht="12" customHeight="1">
      <c r="A74" s="282" t="s">
        <v>60</v>
      </c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3">
        <v>620</v>
      </c>
      <c r="W74" s="283"/>
      <c r="X74" s="283"/>
      <c r="Y74" s="283"/>
      <c r="Z74" s="278"/>
      <c r="AA74" s="278"/>
      <c r="AB74" s="278"/>
      <c r="AC74" s="278"/>
      <c r="AD74" s="278"/>
      <c r="AE74" s="278"/>
      <c r="AF74" s="278"/>
      <c r="AG74" s="278"/>
      <c r="AH74" s="279"/>
      <c r="AI74" s="279"/>
      <c r="AJ74" s="279"/>
      <c r="AK74" s="279"/>
      <c r="AL74" s="279"/>
      <c r="AM74" s="279"/>
      <c r="AN74" s="279"/>
      <c r="AO74" s="279"/>
    </row>
    <row r="75" spans="1:41" ht="12" customHeight="1">
      <c r="A75" s="282" t="s">
        <v>61</v>
      </c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3">
        <v>630</v>
      </c>
      <c r="W75" s="283"/>
      <c r="X75" s="283"/>
      <c r="Y75" s="283"/>
      <c r="Z75" s="278"/>
      <c r="AA75" s="278"/>
      <c r="AB75" s="278"/>
      <c r="AC75" s="278"/>
      <c r="AD75" s="278"/>
      <c r="AE75" s="278"/>
      <c r="AF75" s="278"/>
      <c r="AG75" s="278"/>
      <c r="AH75" s="279"/>
      <c r="AI75" s="279"/>
      <c r="AJ75" s="279"/>
      <c r="AK75" s="279"/>
      <c r="AL75" s="279"/>
      <c r="AM75" s="279"/>
      <c r="AN75" s="279"/>
      <c r="AO75" s="279"/>
    </row>
    <row r="76" spans="1:41" ht="12" customHeight="1">
      <c r="A76" s="282" t="s">
        <v>44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3">
        <v>640</v>
      </c>
      <c r="W76" s="283"/>
      <c r="X76" s="283"/>
      <c r="Y76" s="283"/>
      <c r="Z76" s="278"/>
      <c r="AA76" s="278"/>
      <c r="AB76" s="278"/>
      <c r="AC76" s="278"/>
      <c r="AD76" s="278"/>
      <c r="AE76" s="278"/>
      <c r="AF76" s="278"/>
      <c r="AG76" s="278"/>
      <c r="AH76" s="279"/>
      <c r="AI76" s="279"/>
      <c r="AJ76" s="279"/>
      <c r="AK76" s="279"/>
      <c r="AL76" s="279"/>
      <c r="AM76" s="279"/>
      <c r="AN76" s="279"/>
      <c r="AO76" s="279"/>
    </row>
    <row r="77" spans="1:41" ht="21" customHeight="1">
      <c r="A77" s="274" t="s">
        <v>112</v>
      </c>
      <c r="B77" s="275"/>
      <c r="C77" s="275"/>
      <c r="D77" s="275"/>
      <c r="E77" s="275"/>
      <c r="F77" s="275"/>
      <c r="G77" s="275"/>
      <c r="H77" s="275"/>
      <c r="I77" s="275"/>
      <c r="J77" s="275"/>
      <c r="K77" s="16"/>
      <c r="L77" s="277" t="s">
        <v>89</v>
      </c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C77" s="276" t="s">
        <v>90</v>
      </c>
      <c r="AD77" s="247"/>
      <c r="AE77" s="247"/>
      <c r="AF77" s="247"/>
      <c r="AG77" s="247"/>
      <c r="AH77" s="247"/>
      <c r="AI77" s="247"/>
      <c r="AJ77" s="247"/>
    </row>
    <row r="78" spans="1:41" ht="6.75" customHeight="1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>
      <c r="A79" s="260" t="s">
        <v>62</v>
      </c>
      <c r="B79" s="260"/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</row>
    <row r="80" spans="1:41" ht="12.75" customHeight="1">
      <c r="A80" s="261" t="s">
        <v>63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</row>
    <row r="81" spans="1:41" ht="14.25" customHeight="1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256" t="s">
        <v>123</v>
      </c>
      <c r="AA81" s="256"/>
      <c r="AB81" s="256"/>
      <c r="AC81" s="256"/>
      <c r="AD81" s="256"/>
      <c r="AE81" s="256"/>
      <c r="AF81" s="256"/>
      <c r="AG81" s="256"/>
    </row>
    <row r="82" spans="1:41" ht="15" customHeight="1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256" t="s">
        <v>16</v>
      </c>
      <c r="AA82" s="256"/>
      <c r="AB82" s="256"/>
      <c r="AC82" s="256"/>
      <c r="AD82" s="256"/>
      <c r="AE82" s="256"/>
      <c r="AF82" s="256"/>
      <c r="AG82" s="256"/>
      <c r="AH82" s="257">
        <v>1801007</v>
      </c>
      <c r="AI82" s="258"/>
      <c r="AJ82" s="258"/>
      <c r="AK82" s="258"/>
      <c r="AL82" s="258"/>
      <c r="AM82" s="258"/>
      <c r="AN82" s="258"/>
      <c r="AO82" s="259"/>
    </row>
    <row r="83" spans="1:41" ht="6.75" customHeight="1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>
      <c r="A84" s="273" t="s">
        <v>64</v>
      </c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68" t="s">
        <v>19</v>
      </c>
      <c r="W84" s="268"/>
      <c r="X84" s="268"/>
      <c r="Y84" s="268"/>
      <c r="Z84" s="262" t="s">
        <v>113</v>
      </c>
      <c r="AA84" s="263"/>
      <c r="AB84" s="263"/>
      <c r="AC84" s="263"/>
      <c r="AD84" s="263"/>
      <c r="AE84" s="263"/>
      <c r="AF84" s="263"/>
      <c r="AG84" s="264"/>
      <c r="AH84" s="265" t="s">
        <v>65</v>
      </c>
      <c r="AI84" s="266"/>
      <c r="AJ84" s="266"/>
      <c r="AK84" s="266"/>
      <c r="AL84" s="266"/>
      <c r="AM84" s="266"/>
      <c r="AN84" s="266"/>
      <c r="AO84" s="267"/>
    </row>
    <row r="85" spans="1:41" ht="12" customHeight="1">
      <c r="A85" s="269">
        <v>1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1"/>
      <c r="V85" s="249" t="s">
        <v>95</v>
      </c>
      <c r="W85" s="249"/>
      <c r="X85" s="249"/>
      <c r="Y85" s="249"/>
      <c r="Z85" s="272">
        <v>3</v>
      </c>
      <c r="AA85" s="272"/>
      <c r="AB85" s="272"/>
      <c r="AC85" s="272"/>
      <c r="AD85" s="272"/>
      <c r="AE85" s="272"/>
      <c r="AF85" s="272"/>
      <c r="AG85" s="272"/>
      <c r="AH85" s="272">
        <v>4</v>
      </c>
      <c r="AI85" s="272"/>
      <c r="AJ85" s="272"/>
      <c r="AK85" s="272"/>
      <c r="AL85" s="272"/>
      <c r="AM85" s="272"/>
      <c r="AN85" s="272"/>
      <c r="AO85" s="272"/>
    </row>
    <row r="86" spans="1:41" ht="24.75" customHeight="1">
      <c r="A86" s="248" t="s">
        <v>66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107</v>
      </c>
      <c r="W86" s="249"/>
      <c r="X86" s="249"/>
      <c r="Y86" s="249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</row>
    <row r="87" spans="1:41" ht="15" customHeight="1">
      <c r="A87" s="248" t="s">
        <v>67</v>
      </c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9" t="s">
        <v>96</v>
      </c>
      <c r="W87" s="249"/>
      <c r="X87" s="249"/>
      <c r="Y87" s="249"/>
      <c r="Z87" s="253" t="s">
        <v>117</v>
      </c>
      <c r="AA87" s="254"/>
      <c r="AB87" s="254"/>
      <c r="AC87" s="254"/>
      <c r="AD87" s="254"/>
      <c r="AE87" s="254"/>
      <c r="AF87" s="254"/>
      <c r="AG87" s="255"/>
      <c r="AH87" s="253" t="s">
        <v>118</v>
      </c>
      <c r="AI87" s="254"/>
      <c r="AJ87" s="254"/>
      <c r="AK87" s="254"/>
      <c r="AL87" s="254"/>
      <c r="AM87" s="254"/>
      <c r="AN87" s="254"/>
      <c r="AO87" s="255"/>
    </row>
    <row r="88" spans="1:41" ht="24" customHeight="1">
      <c r="A88" s="248" t="s">
        <v>114</v>
      </c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9" t="s">
        <v>97</v>
      </c>
      <c r="W88" s="249"/>
      <c r="X88" s="249"/>
      <c r="Y88" s="249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</row>
    <row r="89" spans="1:41" ht="12.75" customHeight="1">
      <c r="A89" s="248" t="s">
        <v>68</v>
      </c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9" t="s">
        <v>103</v>
      </c>
      <c r="W89" s="249"/>
      <c r="X89" s="249"/>
      <c r="Y89" s="249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</row>
    <row r="90" spans="1:41" ht="12.75" customHeight="1">
      <c r="A90" s="248" t="s">
        <v>69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9" t="s">
        <v>108</v>
      </c>
      <c r="W90" s="249"/>
      <c r="X90" s="249"/>
      <c r="Y90" s="249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</row>
    <row r="91" spans="1:41" ht="12" customHeight="1">
      <c r="A91" s="251" t="s">
        <v>106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52" t="s">
        <v>104</v>
      </c>
      <c r="W91" s="252"/>
      <c r="X91" s="252"/>
      <c r="Y91" s="252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</row>
    <row r="92" spans="1:41" ht="11.25" customHeight="1">
      <c r="A92" s="248" t="s">
        <v>70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 t="s">
        <v>105</v>
      </c>
      <c r="W92" s="249"/>
      <c r="X92" s="249"/>
      <c r="Y92" s="249"/>
      <c r="Z92" s="253" t="s">
        <v>117</v>
      </c>
      <c r="AA92" s="254"/>
      <c r="AB92" s="254"/>
      <c r="AC92" s="254"/>
      <c r="AD92" s="254"/>
      <c r="AE92" s="254"/>
      <c r="AF92" s="254"/>
      <c r="AG92" s="255"/>
      <c r="AH92" s="253" t="s">
        <v>118</v>
      </c>
      <c r="AI92" s="254"/>
      <c r="AJ92" s="254"/>
      <c r="AK92" s="254"/>
      <c r="AL92" s="254"/>
      <c r="AM92" s="254"/>
      <c r="AN92" s="254"/>
      <c r="AO92" s="255"/>
    </row>
    <row r="93" spans="1:41" ht="11.25" customHeight="1">
      <c r="A93" s="248" t="s">
        <v>71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9" t="s">
        <v>109</v>
      </c>
      <c r="W93" s="249"/>
      <c r="X93" s="249"/>
      <c r="Y93" s="249"/>
      <c r="Z93" s="253" t="s">
        <v>117</v>
      </c>
      <c r="AA93" s="254"/>
      <c r="AB93" s="254"/>
      <c r="AC93" s="254"/>
      <c r="AD93" s="254"/>
      <c r="AE93" s="254"/>
      <c r="AF93" s="254"/>
      <c r="AG93" s="255"/>
      <c r="AH93" s="253" t="s">
        <v>118</v>
      </c>
      <c r="AI93" s="254"/>
      <c r="AJ93" s="254"/>
      <c r="AK93" s="254"/>
      <c r="AL93" s="254"/>
      <c r="AM93" s="254"/>
      <c r="AN93" s="254"/>
      <c r="AO93" s="255"/>
    </row>
    <row r="94" spans="1:41" ht="12" customHeight="1">
      <c r="A94" s="248" t="s">
        <v>119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9" t="s">
        <v>111</v>
      </c>
      <c r="W94" s="249"/>
      <c r="X94" s="249"/>
      <c r="Y94" s="249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</row>
    <row r="95" spans="1:41" ht="11.25" customHeight="1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9" t="s">
        <v>110</v>
      </c>
      <c r="W95" s="249"/>
      <c r="X95" s="249"/>
      <c r="Y95" s="249"/>
      <c r="Z95" s="253" t="s">
        <v>117</v>
      </c>
      <c r="AA95" s="254"/>
      <c r="AB95" s="254"/>
      <c r="AC95" s="254"/>
      <c r="AD95" s="254"/>
      <c r="AE95" s="254"/>
      <c r="AF95" s="254"/>
      <c r="AG95" s="255"/>
      <c r="AH95" s="253" t="s">
        <v>118</v>
      </c>
      <c r="AI95" s="254"/>
      <c r="AJ95" s="254"/>
      <c r="AK95" s="254"/>
      <c r="AL95" s="254"/>
      <c r="AM95" s="254"/>
      <c r="AN95" s="254"/>
      <c r="AO95" s="255"/>
    </row>
    <row r="96" spans="1:41" ht="12" customHeight="1">
      <c r="A96" s="248" t="s">
        <v>72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9">
        <v>100</v>
      </c>
      <c r="W96" s="249"/>
      <c r="X96" s="249"/>
      <c r="Y96" s="249"/>
      <c r="Z96" s="253" t="s">
        <v>117</v>
      </c>
      <c r="AA96" s="254"/>
      <c r="AB96" s="254"/>
      <c r="AC96" s="254"/>
      <c r="AD96" s="254"/>
      <c r="AE96" s="254"/>
      <c r="AF96" s="254"/>
      <c r="AG96" s="255"/>
      <c r="AH96" s="253" t="s">
        <v>118</v>
      </c>
      <c r="AI96" s="254"/>
      <c r="AJ96" s="254"/>
      <c r="AK96" s="254"/>
      <c r="AL96" s="254"/>
      <c r="AM96" s="254"/>
      <c r="AN96" s="254"/>
      <c r="AO96" s="255"/>
    </row>
    <row r="97" spans="1:41" ht="12" customHeight="1">
      <c r="A97" s="251" t="s">
        <v>73</v>
      </c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52">
        <v>120</v>
      </c>
      <c r="W97" s="252"/>
      <c r="X97" s="252"/>
      <c r="Y97" s="252"/>
      <c r="Z97" s="253" t="s">
        <v>117</v>
      </c>
      <c r="AA97" s="254"/>
      <c r="AB97" s="254"/>
      <c r="AC97" s="254"/>
      <c r="AD97" s="254"/>
      <c r="AE97" s="254"/>
      <c r="AF97" s="254"/>
      <c r="AG97" s="255"/>
      <c r="AH97" s="253" t="s">
        <v>118</v>
      </c>
      <c r="AI97" s="254"/>
      <c r="AJ97" s="254"/>
      <c r="AK97" s="254"/>
      <c r="AL97" s="254"/>
      <c r="AM97" s="254"/>
      <c r="AN97" s="254"/>
      <c r="AO97" s="255"/>
    </row>
    <row r="98" spans="1:41" ht="12" customHeight="1">
      <c r="A98" s="248" t="s">
        <v>115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9">
        <v>130</v>
      </c>
      <c r="W98" s="249"/>
      <c r="X98" s="249"/>
      <c r="Y98" s="249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</row>
    <row r="99" spans="1:41" ht="12" customHeight="1">
      <c r="A99" s="248" t="s">
        <v>74</v>
      </c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9">
        <v>140</v>
      </c>
      <c r="W99" s="249"/>
      <c r="X99" s="249"/>
      <c r="Y99" s="249"/>
      <c r="Z99" s="253" t="s">
        <v>117</v>
      </c>
      <c r="AA99" s="254"/>
      <c r="AB99" s="254"/>
      <c r="AC99" s="254"/>
      <c r="AD99" s="254"/>
      <c r="AE99" s="254"/>
      <c r="AF99" s="254"/>
      <c r="AG99" s="255"/>
      <c r="AH99" s="253" t="s">
        <v>118</v>
      </c>
      <c r="AI99" s="254"/>
      <c r="AJ99" s="254"/>
      <c r="AK99" s="254"/>
      <c r="AL99" s="254"/>
      <c r="AM99" s="254"/>
      <c r="AN99" s="254"/>
      <c r="AO99" s="255"/>
    </row>
    <row r="100" spans="1:41" ht="12" customHeight="1">
      <c r="A100" s="251" t="s">
        <v>116</v>
      </c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52">
        <v>150</v>
      </c>
      <c r="W100" s="252"/>
      <c r="X100" s="252"/>
      <c r="Y100" s="252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</row>
    <row r="101" spans="1:41" ht="12" customHeight="1">
      <c r="A101" s="251" t="s">
        <v>75</v>
      </c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2">
        <v>160</v>
      </c>
      <c r="W101" s="252"/>
      <c r="X101" s="252"/>
      <c r="Y101" s="252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</row>
    <row r="102" spans="1:41" ht="6.75" customHeight="1"/>
    <row r="103" spans="1:41" ht="15" customHeight="1">
      <c r="B103" s="247" t="s">
        <v>91</v>
      </c>
      <c r="C103" s="247"/>
      <c r="D103" s="247"/>
      <c r="E103" s="247"/>
      <c r="F103" s="247"/>
      <c r="G103" s="247"/>
      <c r="H103" s="247"/>
      <c r="I103" s="247"/>
      <c r="Q103" s="246"/>
      <c r="R103" s="246"/>
      <c r="S103" s="246"/>
      <c r="T103" s="246"/>
      <c r="U103" s="246"/>
      <c r="V103" s="246"/>
      <c r="W103" s="246"/>
      <c r="X103" s="246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</row>
    <row r="104" spans="1:41">
      <c r="Q104" s="244" t="s">
        <v>94</v>
      </c>
      <c r="R104" s="245"/>
      <c r="S104" s="245"/>
      <c r="T104" s="245"/>
      <c r="U104" s="245"/>
      <c r="V104" s="245"/>
      <c r="W104" s="245"/>
      <c r="X104" s="245"/>
      <c r="AE104" s="244" t="s">
        <v>93</v>
      </c>
      <c r="AF104" s="245"/>
      <c r="AG104" s="245"/>
      <c r="AH104" s="245"/>
      <c r="AI104" s="245"/>
      <c r="AJ104" s="245"/>
      <c r="AK104" s="245"/>
      <c r="AL104" s="245"/>
      <c r="AM104" s="245"/>
      <c r="AN104" s="245"/>
    </row>
    <row r="105" spans="1:41" ht="4.5" customHeight="1"/>
    <row r="106" spans="1:41">
      <c r="B106" s="247" t="s">
        <v>92</v>
      </c>
      <c r="C106" s="247"/>
      <c r="D106" s="247"/>
      <c r="E106" s="247"/>
      <c r="F106" s="247"/>
      <c r="G106" s="247"/>
      <c r="H106" s="247"/>
      <c r="I106" s="247"/>
      <c r="Q106" s="246"/>
      <c r="R106" s="246"/>
      <c r="S106" s="246"/>
      <c r="T106" s="246"/>
      <c r="U106" s="246"/>
      <c r="V106" s="246"/>
      <c r="W106" s="246"/>
      <c r="X106" s="246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</row>
    <row r="107" spans="1:41">
      <c r="Q107" s="244" t="s">
        <v>94</v>
      </c>
      <c r="R107" s="245"/>
      <c r="S107" s="245"/>
      <c r="T107" s="245"/>
      <c r="U107" s="245"/>
      <c r="V107" s="245"/>
      <c r="W107" s="245"/>
      <c r="X107" s="245"/>
      <c r="AE107" s="244" t="s">
        <v>93</v>
      </c>
      <c r="AF107" s="245"/>
      <c r="AG107" s="245"/>
      <c r="AH107" s="245"/>
      <c r="AI107" s="245"/>
      <c r="AJ107" s="245"/>
      <c r="AK107" s="245"/>
      <c r="AL107" s="245"/>
      <c r="AM107" s="245"/>
      <c r="AN107" s="245"/>
    </row>
    <row r="108" spans="1:41" ht="7.5" customHeight="1"/>
  </sheetData>
  <mergeCells count="358">
    <mergeCell ref="W1:AO1"/>
    <mergeCell ref="A3:AO3"/>
    <mergeCell ref="A4:AO4"/>
    <mergeCell ref="AH5:AO5"/>
    <mergeCell ref="A6:AF6"/>
    <mergeCell ref="AH6:AJ6"/>
    <mergeCell ref="AK6:AL6"/>
    <mergeCell ref="AM6:AO6"/>
    <mergeCell ref="A7:F7"/>
    <mergeCell ref="AB7:AG7"/>
    <mergeCell ref="AH7:AO7"/>
    <mergeCell ref="A8:D8"/>
    <mergeCell ref="AB8:AG8"/>
    <mergeCell ref="AH8:AO8"/>
    <mergeCell ref="G7:Z7"/>
    <mergeCell ref="E8:AA8"/>
    <mergeCell ref="A9:I9"/>
    <mergeCell ref="AB9:AG9"/>
    <mergeCell ref="AH9:AO9"/>
    <mergeCell ref="A10:K10"/>
    <mergeCell ref="AB10:AG10"/>
    <mergeCell ref="AH10:AO10"/>
    <mergeCell ref="J9:Z9"/>
    <mergeCell ref="L10:Z10"/>
    <mergeCell ref="A11:J11"/>
    <mergeCell ref="AB11:AG11"/>
    <mergeCell ref="AH11:AO11"/>
    <mergeCell ref="A12:K12"/>
    <mergeCell ref="A13:J13"/>
    <mergeCell ref="K11:Z11"/>
    <mergeCell ref="A14:C14"/>
    <mergeCell ref="A16:S16"/>
    <mergeCell ref="T16:Y16"/>
    <mergeCell ref="Z16:AG16"/>
    <mergeCell ref="AH16:AO16"/>
    <mergeCell ref="A17:S17"/>
    <mergeCell ref="A19:U19"/>
    <mergeCell ref="V19:Y19"/>
    <mergeCell ref="Z19:AG19"/>
    <mergeCell ref="AH19:AO19"/>
    <mergeCell ref="A20:U20"/>
    <mergeCell ref="V20:Y20"/>
    <mergeCell ref="Z20:AG20"/>
    <mergeCell ref="AH20:AO20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J77"/>
    <mergeCell ref="L77:Z77"/>
    <mergeCell ref="AC77:AJ77"/>
    <mergeCell ref="A79:AO79"/>
    <mergeCell ref="A80:AO80"/>
    <mergeCell ref="Z81:AG81"/>
    <mergeCell ref="Z82:AG82"/>
    <mergeCell ref="AH82:AO82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9:U99"/>
    <mergeCell ref="V99:Y99"/>
    <mergeCell ref="Z99:AG99"/>
    <mergeCell ref="AH99:AO99"/>
    <mergeCell ref="Q104:X104"/>
    <mergeCell ref="AE104:AN104"/>
    <mergeCell ref="B106:I106"/>
    <mergeCell ref="Q106:X106"/>
    <mergeCell ref="AE106:AN106"/>
    <mergeCell ref="Q107:X107"/>
    <mergeCell ref="AE107:AN107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B103:I103"/>
    <mergeCell ref="Q103:X103"/>
    <mergeCell ref="AE103:AN10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AO111"/>
  <sheetViews>
    <sheetView showGridLines="0" workbookViewId="0">
      <selection activeCell="AS12" sqref="AS12"/>
    </sheetView>
  </sheetViews>
  <sheetFormatPr defaultRowHeight="12.75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>
      <c r="W1" s="240" t="s">
        <v>125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</row>
    <row r="2" spans="1:41" ht="5.25" customHeight="1"/>
    <row r="3" spans="1:41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</row>
    <row r="4" spans="1:41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</row>
    <row r="5" spans="1:41" ht="15.7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284" t="s">
        <v>1</v>
      </c>
      <c r="AI5" s="284"/>
      <c r="AJ5" s="284"/>
      <c r="AK5" s="284"/>
      <c r="AL5" s="284"/>
      <c r="AM5" s="284"/>
      <c r="AN5" s="284"/>
      <c r="AO5" s="284"/>
    </row>
    <row r="6" spans="1:41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4"/>
      <c r="AH6" s="284"/>
      <c r="AI6" s="284"/>
      <c r="AJ6" s="284"/>
      <c r="AK6" s="284"/>
      <c r="AL6" s="284"/>
      <c r="AM6" s="257" t="s">
        <v>77</v>
      </c>
      <c r="AN6" s="258"/>
      <c r="AO6" s="259"/>
    </row>
    <row r="7" spans="1:41" ht="15" customHeight="1">
      <c r="A7" s="285" t="s">
        <v>3</v>
      </c>
      <c r="B7" s="285"/>
      <c r="C7" s="285"/>
      <c r="D7" s="285"/>
      <c r="E7" s="285"/>
      <c r="F7" s="285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7"/>
      <c r="AB7" s="247" t="s">
        <v>4</v>
      </c>
      <c r="AC7" s="247"/>
      <c r="AD7" s="247"/>
      <c r="AE7" s="247"/>
      <c r="AF7" s="247"/>
      <c r="AG7" s="247"/>
      <c r="AH7" s="257"/>
      <c r="AI7" s="258"/>
      <c r="AJ7" s="258"/>
      <c r="AK7" s="258"/>
      <c r="AL7" s="258"/>
      <c r="AM7" s="258"/>
      <c r="AN7" s="258"/>
      <c r="AO7" s="259"/>
    </row>
    <row r="8" spans="1:41" ht="12.75" customHeight="1">
      <c r="A8" s="285" t="s">
        <v>5</v>
      </c>
      <c r="B8" s="285"/>
      <c r="C8" s="285"/>
      <c r="D8" s="285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47" t="s">
        <v>6</v>
      </c>
      <c r="AC8" s="247"/>
      <c r="AD8" s="247"/>
      <c r="AE8" s="247"/>
      <c r="AF8" s="247"/>
      <c r="AG8" s="247"/>
      <c r="AH8" s="284"/>
      <c r="AI8" s="284"/>
      <c r="AJ8" s="284"/>
      <c r="AK8" s="284"/>
      <c r="AL8" s="284"/>
      <c r="AM8" s="284"/>
      <c r="AN8" s="284"/>
      <c r="AO8" s="284"/>
    </row>
    <row r="9" spans="1:41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"/>
      <c r="AB9" s="247" t="s">
        <v>7</v>
      </c>
      <c r="AC9" s="247"/>
      <c r="AD9" s="247"/>
      <c r="AE9" s="247"/>
      <c r="AF9" s="247"/>
      <c r="AG9" s="247"/>
      <c r="AH9" s="284"/>
      <c r="AI9" s="284"/>
      <c r="AJ9" s="284"/>
      <c r="AK9" s="284"/>
      <c r="AL9" s="284"/>
      <c r="AM9" s="284"/>
      <c r="AN9" s="284"/>
      <c r="AO9" s="284"/>
    </row>
    <row r="10" spans="1:41" ht="15.75" customHeight="1">
      <c r="A10" s="285" t="s">
        <v>8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7"/>
      <c r="AB10" s="247" t="s">
        <v>9</v>
      </c>
      <c r="AC10" s="247"/>
      <c r="AD10" s="247"/>
      <c r="AE10" s="247"/>
      <c r="AF10" s="247"/>
      <c r="AG10" s="247"/>
      <c r="AH10" s="284"/>
      <c r="AI10" s="284"/>
      <c r="AJ10" s="284"/>
      <c r="AK10" s="284"/>
      <c r="AL10" s="284"/>
      <c r="AM10" s="284"/>
      <c r="AN10" s="284"/>
      <c r="AO10" s="284"/>
    </row>
    <row r="11" spans="1:41" ht="15.75" customHeight="1">
      <c r="A11" s="285" t="s">
        <v>10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7"/>
      <c r="AB11" s="247" t="s">
        <v>11</v>
      </c>
      <c r="AC11" s="247"/>
      <c r="AD11" s="247"/>
      <c r="AE11" s="247"/>
      <c r="AF11" s="247"/>
      <c r="AG11" s="247"/>
      <c r="AH11" s="284"/>
      <c r="AI11" s="284"/>
      <c r="AJ11" s="284"/>
      <c r="AK11" s="284"/>
      <c r="AL11" s="284"/>
      <c r="AM11" s="284"/>
      <c r="AN11" s="284"/>
      <c r="AO11" s="284"/>
    </row>
    <row r="12" spans="1:41" ht="13.5" customHeight="1">
      <c r="A12" s="285" t="s">
        <v>12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>
      <c r="A13" s="285" t="s">
        <v>13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>
      <c r="A14" s="247" t="s">
        <v>14</v>
      </c>
      <c r="B14" s="247"/>
      <c r="C14" s="24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>
      <c r="A15" s="20" t="s">
        <v>127</v>
      </c>
    </row>
    <row r="16" spans="1:41" ht="13.5" customHeight="1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>
      <c r="C18" s="12"/>
      <c r="D18" s="12"/>
      <c r="E18" s="12"/>
      <c r="F18" s="12"/>
      <c r="L18" s="5"/>
    </row>
    <row r="19" spans="1:41" ht="15" customHeight="1">
      <c r="A19" s="260" t="s">
        <v>15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 t="s">
        <v>80</v>
      </c>
      <c r="U19" s="260"/>
      <c r="V19" s="260"/>
      <c r="W19" s="260"/>
      <c r="X19" s="260"/>
      <c r="Y19" s="260"/>
      <c r="Z19" s="256" t="s">
        <v>79</v>
      </c>
      <c r="AA19" s="256"/>
      <c r="AB19" s="256"/>
      <c r="AC19" s="256"/>
      <c r="AD19" s="256"/>
      <c r="AE19" s="256"/>
      <c r="AF19" s="256"/>
      <c r="AG19" s="288"/>
      <c r="AH19" s="257">
        <v>1801006</v>
      </c>
      <c r="AI19" s="258"/>
      <c r="AJ19" s="258"/>
      <c r="AK19" s="258"/>
      <c r="AL19" s="258"/>
      <c r="AM19" s="258"/>
      <c r="AN19" s="258"/>
      <c r="AO19" s="259"/>
    </row>
    <row r="20" spans="1:41" ht="10.5" customHeight="1">
      <c r="A20" s="289" t="s">
        <v>17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</row>
    <row r="21" spans="1:41" ht="7.5" customHeight="1">
      <c r="G21" s="15"/>
      <c r="H21" s="15"/>
      <c r="L21" s="5"/>
    </row>
    <row r="22" spans="1:41" ht="28.5" customHeight="1">
      <c r="A22" s="273" t="s">
        <v>18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86" t="s">
        <v>19</v>
      </c>
      <c r="W22" s="286"/>
      <c r="X22" s="286"/>
      <c r="Y22" s="286"/>
      <c r="Z22" s="273" t="s">
        <v>20</v>
      </c>
      <c r="AA22" s="273"/>
      <c r="AB22" s="273"/>
      <c r="AC22" s="273"/>
      <c r="AD22" s="273"/>
      <c r="AE22" s="273"/>
      <c r="AF22" s="273"/>
      <c r="AG22" s="273"/>
      <c r="AH22" s="273" t="s">
        <v>78</v>
      </c>
      <c r="AI22" s="273"/>
      <c r="AJ22" s="273"/>
      <c r="AK22" s="273"/>
      <c r="AL22" s="273"/>
      <c r="AM22" s="273"/>
      <c r="AN22" s="273"/>
      <c r="AO22" s="273"/>
    </row>
    <row r="23" spans="1:41" ht="15" customHeight="1">
      <c r="A23" s="269">
        <v>1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1"/>
      <c r="V23" s="281" t="s">
        <v>95</v>
      </c>
      <c r="W23" s="281"/>
      <c r="X23" s="281"/>
      <c r="Y23" s="281"/>
      <c r="Z23" s="284">
        <v>3</v>
      </c>
      <c r="AA23" s="284"/>
      <c r="AB23" s="284"/>
      <c r="AC23" s="284"/>
      <c r="AD23" s="284"/>
      <c r="AE23" s="284"/>
      <c r="AF23" s="284"/>
      <c r="AG23" s="284"/>
      <c r="AH23" s="284">
        <v>4</v>
      </c>
      <c r="AI23" s="284"/>
      <c r="AJ23" s="284"/>
      <c r="AK23" s="284"/>
      <c r="AL23" s="284"/>
      <c r="AM23" s="284"/>
      <c r="AN23" s="284"/>
      <c r="AO23" s="284"/>
    </row>
    <row r="24" spans="1:41" ht="14.25" customHeight="1">
      <c r="A24" s="282" t="s">
        <v>21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1"/>
      <c r="W24" s="281"/>
      <c r="X24" s="281"/>
      <c r="Y24" s="281"/>
      <c r="Z24" s="278"/>
      <c r="AA24" s="278"/>
      <c r="AB24" s="278"/>
      <c r="AC24" s="278"/>
      <c r="AD24" s="278"/>
      <c r="AE24" s="278"/>
      <c r="AF24" s="278"/>
      <c r="AG24" s="278"/>
      <c r="AH24" s="279"/>
      <c r="AI24" s="279"/>
      <c r="AJ24" s="279"/>
      <c r="AK24" s="279"/>
      <c r="AL24" s="279"/>
      <c r="AM24" s="279"/>
      <c r="AN24" s="279"/>
      <c r="AO24" s="279"/>
    </row>
    <row r="25" spans="1:41" ht="15" customHeight="1">
      <c r="A25" s="290" t="s">
        <v>126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1" t="s">
        <v>96</v>
      </c>
      <c r="W25" s="281"/>
      <c r="X25" s="281"/>
      <c r="Y25" s="281"/>
      <c r="Z25" s="278"/>
      <c r="AA25" s="278"/>
      <c r="AB25" s="278"/>
      <c r="AC25" s="278"/>
      <c r="AD25" s="278"/>
      <c r="AE25" s="278"/>
      <c r="AF25" s="278"/>
      <c r="AG25" s="278"/>
      <c r="AH25" s="279"/>
      <c r="AI25" s="279"/>
      <c r="AJ25" s="279"/>
      <c r="AK25" s="279"/>
      <c r="AL25" s="279"/>
      <c r="AM25" s="279"/>
      <c r="AN25" s="279"/>
      <c r="AO25" s="279"/>
    </row>
    <row r="26" spans="1:41" ht="15" customHeight="1">
      <c r="A26" s="280" t="s">
        <v>23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1"/>
      <c r="W26" s="281"/>
      <c r="X26" s="281"/>
      <c r="Y26" s="281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  <c r="AO26" s="279"/>
    </row>
    <row r="27" spans="1:41" ht="15" customHeight="1">
      <c r="A27" s="280" t="s">
        <v>81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1" t="s">
        <v>97</v>
      </c>
      <c r="W27" s="281"/>
      <c r="X27" s="281"/>
      <c r="Y27" s="281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  <c r="AO27" s="279"/>
    </row>
    <row r="28" spans="1:41" ht="15" customHeight="1">
      <c r="A28" s="280" t="s">
        <v>82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1" t="s">
        <v>98</v>
      </c>
      <c r="W28" s="281"/>
      <c r="X28" s="281"/>
      <c r="Y28" s="281"/>
      <c r="Z28" s="278"/>
      <c r="AA28" s="278"/>
      <c r="AB28" s="278"/>
      <c r="AC28" s="278"/>
      <c r="AD28" s="278"/>
      <c r="AE28" s="278"/>
      <c r="AF28" s="278"/>
      <c r="AG28" s="278"/>
      <c r="AH28" s="279"/>
      <c r="AI28" s="279"/>
      <c r="AJ28" s="279"/>
      <c r="AK28" s="279"/>
      <c r="AL28" s="279"/>
      <c r="AM28" s="279"/>
      <c r="AN28" s="279"/>
      <c r="AO28" s="279"/>
    </row>
    <row r="29" spans="1:41" ht="15" customHeight="1">
      <c r="A29" s="280" t="s">
        <v>83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1" t="s">
        <v>99</v>
      </c>
      <c r="W29" s="281"/>
      <c r="X29" s="281"/>
      <c r="Y29" s="281"/>
      <c r="Z29" s="253" t="s">
        <v>117</v>
      </c>
      <c r="AA29" s="254"/>
      <c r="AB29" s="254"/>
      <c r="AC29" s="254"/>
      <c r="AD29" s="254"/>
      <c r="AE29" s="254"/>
      <c r="AF29" s="254"/>
      <c r="AG29" s="255"/>
      <c r="AH29" s="253" t="s">
        <v>118</v>
      </c>
      <c r="AI29" s="254"/>
      <c r="AJ29" s="254"/>
      <c r="AK29" s="254"/>
      <c r="AL29" s="254"/>
      <c r="AM29" s="254"/>
      <c r="AN29" s="254"/>
      <c r="AO29" s="255"/>
    </row>
    <row r="30" spans="1:41" ht="15" customHeight="1">
      <c r="A30" s="280" t="s">
        <v>25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1"/>
      <c r="W30" s="281"/>
      <c r="X30" s="281"/>
      <c r="Y30" s="281"/>
      <c r="Z30" s="278"/>
      <c r="AA30" s="278"/>
      <c r="AB30" s="278"/>
      <c r="AC30" s="278"/>
      <c r="AD30" s="278"/>
      <c r="AE30" s="278"/>
      <c r="AF30" s="278"/>
      <c r="AG30" s="278"/>
      <c r="AH30" s="279"/>
      <c r="AI30" s="279"/>
      <c r="AJ30" s="279"/>
      <c r="AK30" s="279"/>
      <c r="AL30" s="279"/>
      <c r="AM30" s="279"/>
      <c r="AN30" s="279"/>
      <c r="AO30" s="279"/>
    </row>
    <row r="31" spans="1:41" ht="15" customHeight="1">
      <c r="A31" s="280" t="s">
        <v>26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1" t="s">
        <v>100</v>
      </c>
      <c r="W31" s="281"/>
      <c r="X31" s="281"/>
      <c r="Y31" s="281"/>
      <c r="Z31" s="278"/>
      <c r="AA31" s="278"/>
      <c r="AB31" s="278"/>
      <c r="AC31" s="278"/>
      <c r="AD31" s="278"/>
      <c r="AE31" s="278"/>
      <c r="AF31" s="278"/>
      <c r="AG31" s="278"/>
      <c r="AH31" s="279"/>
      <c r="AI31" s="279"/>
      <c r="AJ31" s="279"/>
      <c r="AK31" s="279"/>
      <c r="AL31" s="279"/>
      <c r="AM31" s="279"/>
      <c r="AN31" s="279"/>
      <c r="AO31" s="279"/>
    </row>
    <row r="32" spans="1:41" ht="15" customHeight="1">
      <c r="A32" s="280" t="s">
        <v>24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1" t="s">
        <v>101</v>
      </c>
      <c r="W32" s="281"/>
      <c r="X32" s="281"/>
      <c r="Y32" s="281"/>
      <c r="Z32" s="278"/>
      <c r="AA32" s="278"/>
      <c r="AB32" s="278"/>
      <c r="AC32" s="278"/>
      <c r="AD32" s="278"/>
      <c r="AE32" s="278"/>
      <c r="AF32" s="278"/>
      <c r="AG32" s="278"/>
      <c r="AH32" s="279"/>
      <c r="AI32" s="279"/>
      <c r="AJ32" s="279"/>
      <c r="AK32" s="279"/>
      <c r="AL32" s="279"/>
      <c r="AM32" s="279"/>
      <c r="AN32" s="279"/>
      <c r="AO32" s="279"/>
    </row>
    <row r="33" spans="1:41" ht="15" customHeight="1">
      <c r="A33" s="280" t="s">
        <v>27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1" t="s">
        <v>102</v>
      </c>
      <c r="W33" s="281"/>
      <c r="X33" s="281"/>
      <c r="Y33" s="281"/>
      <c r="Z33" s="253" t="s">
        <v>117</v>
      </c>
      <c r="AA33" s="254"/>
      <c r="AB33" s="254"/>
      <c r="AC33" s="254"/>
      <c r="AD33" s="254"/>
      <c r="AE33" s="254"/>
      <c r="AF33" s="254"/>
      <c r="AG33" s="255"/>
      <c r="AH33" s="253" t="s">
        <v>118</v>
      </c>
      <c r="AI33" s="254"/>
      <c r="AJ33" s="254"/>
      <c r="AK33" s="254"/>
      <c r="AL33" s="254"/>
      <c r="AM33" s="254"/>
      <c r="AN33" s="254"/>
      <c r="AO33" s="255"/>
    </row>
    <row r="34" spans="1:41" ht="15" customHeight="1">
      <c r="A34" s="280" t="s">
        <v>28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1" t="s">
        <v>103</v>
      </c>
      <c r="W34" s="281"/>
      <c r="X34" s="281"/>
      <c r="Y34" s="281"/>
      <c r="Z34" s="278"/>
      <c r="AA34" s="278"/>
      <c r="AB34" s="278"/>
      <c r="AC34" s="278"/>
      <c r="AD34" s="278"/>
      <c r="AE34" s="278"/>
      <c r="AF34" s="278"/>
      <c r="AG34" s="278"/>
      <c r="AH34" s="279"/>
      <c r="AI34" s="279"/>
      <c r="AJ34" s="279"/>
      <c r="AK34" s="279"/>
      <c r="AL34" s="279"/>
      <c r="AM34" s="279"/>
      <c r="AN34" s="279"/>
      <c r="AO34" s="279"/>
    </row>
    <row r="35" spans="1:41" ht="15" customHeight="1">
      <c r="A35" s="280" t="s">
        <v>29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1" t="s">
        <v>104</v>
      </c>
      <c r="W35" s="281"/>
      <c r="X35" s="281"/>
      <c r="Y35" s="281"/>
      <c r="Z35" s="278"/>
      <c r="AA35" s="278"/>
      <c r="AB35" s="278"/>
      <c r="AC35" s="278"/>
      <c r="AD35" s="278"/>
      <c r="AE35" s="278"/>
      <c r="AF35" s="278"/>
      <c r="AG35" s="278"/>
      <c r="AH35" s="279"/>
      <c r="AI35" s="279"/>
      <c r="AJ35" s="279"/>
      <c r="AK35" s="279"/>
      <c r="AL35" s="279"/>
      <c r="AM35" s="279"/>
      <c r="AN35" s="279"/>
      <c r="AO35" s="279"/>
    </row>
    <row r="36" spans="1:41" ht="15" customHeight="1">
      <c r="A36" s="282" t="s">
        <v>30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3" t="s">
        <v>105</v>
      </c>
      <c r="W36" s="283"/>
      <c r="X36" s="283"/>
      <c r="Y36" s="283"/>
      <c r="Z36" s="278"/>
      <c r="AA36" s="278"/>
      <c r="AB36" s="278"/>
      <c r="AC36" s="278"/>
      <c r="AD36" s="278"/>
      <c r="AE36" s="278"/>
      <c r="AF36" s="278"/>
      <c r="AG36" s="278"/>
      <c r="AH36" s="279"/>
      <c r="AI36" s="279"/>
      <c r="AJ36" s="279"/>
      <c r="AK36" s="279"/>
      <c r="AL36" s="279"/>
      <c r="AM36" s="279"/>
      <c r="AN36" s="279"/>
      <c r="AO36" s="279"/>
    </row>
    <row r="37" spans="1:41" ht="15" customHeight="1">
      <c r="A37" s="282" t="s">
        <v>31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1"/>
      <c r="W37" s="281"/>
      <c r="X37" s="281"/>
      <c r="Y37" s="281"/>
      <c r="Z37" s="278"/>
      <c r="AA37" s="278"/>
      <c r="AB37" s="278"/>
      <c r="AC37" s="278"/>
      <c r="AD37" s="278"/>
      <c r="AE37" s="278"/>
      <c r="AF37" s="278"/>
      <c r="AG37" s="278"/>
      <c r="AH37" s="279"/>
      <c r="AI37" s="279"/>
      <c r="AJ37" s="279"/>
      <c r="AK37" s="279"/>
      <c r="AL37" s="279"/>
      <c r="AM37" s="279"/>
      <c r="AN37" s="279"/>
      <c r="AO37" s="279"/>
    </row>
    <row r="38" spans="1:41" ht="15" customHeight="1">
      <c r="A38" s="280" t="s">
        <v>32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1">
        <v>100</v>
      </c>
      <c r="W38" s="281"/>
      <c r="X38" s="281"/>
      <c r="Y38" s="281"/>
      <c r="Z38" s="278"/>
      <c r="AA38" s="278"/>
      <c r="AB38" s="278"/>
      <c r="AC38" s="278"/>
      <c r="AD38" s="278"/>
      <c r="AE38" s="278"/>
      <c r="AF38" s="278"/>
      <c r="AG38" s="278"/>
      <c r="AH38" s="279"/>
      <c r="AI38" s="279"/>
      <c r="AJ38" s="279"/>
      <c r="AK38" s="279"/>
      <c r="AL38" s="279"/>
      <c r="AM38" s="279"/>
      <c r="AN38" s="279"/>
      <c r="AO38" s="279"/>
    </row>
    <row r="39" spans="1:41" ht="15" customHeight="1">
      <c r="A39" s="280" t="s">
        <v>33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1">
        <v>110</v>
      </c>
      <c r="W39" s="281"/>
      <c r="X39" s="281"/>
      <c r="Y39" s="281"/>
      <c r="Z39" s="278"/>
      <c r="AA39" s="278"/>
      <c r="AB39" s="278"/>
      <c r="AC39" s="278"/>
      <c r="AD39" s="278"/>
      <c r="AE39" s="278"/>
      <c r="AF39" s="278"/>
      <c r="AG39" s="278"/>
      <c r="AH39" s="279"/>
      <c r="AI39" s="279"/>
      <c r="AJ39" s="279"/>
      <c r="AK39" s="279"/>
      <c r="AL39" s="279"/>
      <c r="AM39" s="279"/>
      <c r="AN39" s="279"/>
      <c r="AO39" s="279"/>
    </row>
    <row r="40" spans="1:41" ht="15" customHeight="1">
      <c r="A40" s="280" t="s">
        <v>34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1">
        <v>130</v>
      </c>
      <c r="W40" s="281"/>
      <c r="X40" s="281"/>
      <c r="Y40" s="281"/>
      <c r="Z40" s="278"/>
      <c r="AA40" s="278"/>
      <c r="AB40" s="278"/>
      <c r="AC40" s="278"/>
      <c r="AD40" s="278"/>
      <c r="AE40" s="278"/>
      <c r="AF40" s="278"/>
      <c r="AG40" s="278"/>
      <c r="AH40" s="279"/>
      <c r="AI40" s="279"/>
      <c r="AJ40" s="279"/>
      <c r="AK40" s="279"/>
      <c r="AL40" s="279"/>
      <c r="AM40" s="279"/>
      <c r="AN40" s="279"/>
      <c r="AO40" s="279"/>
    </row>
    <row r="41" spans="1:41" ht="15" customHeight="1">
      <c r="A41" s="280" t="s">
        <v>35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1"/>
      <c r="W41" s="281"/>
      <c r="X41" s="281"/>
      <c r="Y41" s="281"/>
      <c r="Z41" s="278"/>
      <c r="AA41" s="278"/>
      <c r="AB41" s="278"/>
      <c r="AC41" s="278"/>
      <c r="AD41" s="278"/>
      <c r="AE41" s="278"/>
      <c r="AF41" s="278"/>
      <c r="AG41" s="278"/>
      <c r="AH41" s="279"/>
      <c r="AI41" s="279"/>
      <c r="AJ41" s="279"/>
      <c r="AK41" s="279"/>
      <c r="AL41" s="279"/>
      <c r="AM41" s="279"/>
      <c r="AN41" s="279"/>
      <c r="AO41" s="279"/>
    </row>
    <row r="42" spans="1:41" ht="15" customHeight="1">
      <c r="A42" s="280" t="s">
        <v>84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1">
        <v>160</v>
      </c>
      <c r="W42" s="281"/>
      <c r="X42" s="281"/>
      <c r="Y42" s="28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  <c r="AO42" s="279"/>
    </row>
    <row r="43" spans="1:41" ht="15" customHeight="1">
      <c r="A43" s="280" t="s">
        <v>82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1">
        <v>161</v>
      </c>
      <c r="W43" s="281"/>
      <c r="X43" s="281"/>
      <c r="Y43" s="281"/>
      <c r="Z43" s="278"/>
      <c r="AA43" s="278"/>
      <c r="AB43" s="278"/>
      <c r="AC43" s="278"/>
      <c r="AD43" s="278"/>
      <c r="AE43" s="278"/>
      <c r="AF43" s="278"/>
      <c r="AG43" s="278"/>
      <c r="AH43" s="279"/>
      <c r="AI43" s="279"/>
      <c r="AJ43" s="279"/>
      <c r="AK43" s="279"/>
      <c r="AL43" s="279"/>
      <c r="AM43" s="279"/>
      <c r="AN43" s="279"/>
      <c r="AO43" s="279"/>
    </row>
    <row r="44" spans="1:41" ht="15" customHeight="1">
      <c r="A44" s="280" t="s">
        <v>85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1">
        <v>162</v>
      </c>
      <c r="W44" s="281"/>
      <c r="X44" s="281"/>
      <c r="Y44" s="281"/>
      <c r="Z44" s="253" t="s">
        <v>117</v>
      </c>
      <c r="AA44" s="254"/>
      <c r="AB44" s="254"/>
      <c r="AC44" s="254"/>
      <c r="AD44" s="254"/>
      <c r="AE44" s="254"/>
      <c r="AF44" s="254"/>
      <c r="AG44" s="255"/>
      <c r="AH44" s="253" t="s">
        <v>118</v>
      </c>
      <c r="AI44" s="254"/>
      <c r="AJ44" s="254"/>
      <c r="AK44" s="254"/>
      <c r="AL44" s="254"/>
      <c r="AM44" s="254"/>
      <c r="AN44" s="254"/>
      <c r="AO44" s="255"/>
    </row>
    <row r="45" spans="1:41" ht="15" customHeight="1">
      <c r="A45" s="280" t="s">
        <v>36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1">
        <v>170</v>
      </c>
      <c r="W45" s="281"/>
      <c r="X45" s="281"/>
      <c r="Y45" s="281"/>
      <c r="Z45" s="278"/>
      <c r="AA45" s="278"/>
      <c r="AB45" s="278"/>
      <c r="AC45" s="278"/>
      <c r="AD45" s="278"/>
      <c r="AE45" s="278"/>
      <c r="AF45" s="278"/>
      <c r="AG45" s="278"/>
      <c r="AH45" s="279"/>
      <c r="AI45" s="279"/>
      <c r="AJ45" s="279"/>
      <c r="AK45" s="279"/>
      <c r="AL45" s="279"/>
      <c r="AM45" s="279"/>
      <c r="AN45" s="279"/>
      <c r="AO45" s="279"/>
    </row>
    <row r="46" spans="1:41" ht="15" customHeight="1">
      <c r="A46" s="280" t="s">
        <v>37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1">
        <v>210</v>
      </c>
      <c r="W46" s="281"/>
      <c r="X46" s="281"/>
      <c r="Y46" s="281"/>
      <c r="Z46" s="278"/>
      <c r="AA46" s="278"/>
      <c r="AB46" s="278"/>
      <c r="AC46" s="278"/>
      <c r="AD46" s="278"/>
      <c r="AE46" s="278"/>
      <c r="AF46" s="278"/>
      <c r="AG46" s="278"/>
      <c r="AH46" s="279"/>
      <c r="AI46" s="279"/>
      <c r="AJ46" s="279"/>
      <c r="AK46" s="279"/>
      <c r="AL46" s="279"/>
      <c r="AM46" s="279"/>
      <c r="AN46" s="279"/>
      <c r="AO46" s="279"/>
    </row>
    <row r="47" spans="1:41" ht="15" customHeight="1">
      <c r="A47" s="280" t="s">
        <v>38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1">
        <v>220</v>
      </c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  <c r="AO47" s="279"/>
    </row>
    <row r="48" spans="1:41" ht="15" customHeight="1">
      <c r="A48" s="280" t="s">
        <v>39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/>
      <c r="W48" s="281"/>
      <c r="X48" s="281"/>
      <c r="Y48" s="281"/>
      <c r="Z48" s="278"/>
      <c r="AA48" s="278"/>
      <c r="AB48" s="278"/>
      <c r="AC48" s="278"/>
      <c r="AD48" s="278"/>
      <c r="AE48" s="278"/>
      <c r="AF48" s="278"/>
      <c r="AG48" s="278"/>
      <c r="AH48" s="279"/>
      <c r="AI48" s="279"/>
      <c r="AJ48" s="279"/>
      <c r="AK48" s="279"/>
      <c r="AL48" s="279"/>
      <c r="AM48" s="279"/>
      <c r="AN48" s="279"/>
      <c r="AO48" s="279"/>
    </row>
    <row r="49" spans="1:41" ht="15" customHeight="1">
      <c r="A49" s="280" t="s">
        <v>86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>
        <v>230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279"/>
      <c r="AI49" s="279"/>
      <c r="AJ49" s="279"/>
      <c r="AK49" s="279"/>
      <c r="AL49" s="279"/>
      <c r="AM49" s="279"/>
      <c r="AN49" s="279"/>
      <c r="AO49" s="279"/>
    </row>
    <row r="50" spans="1:41" ht="15" customHeight="1">
      <c r="A50" s="280" t="s">
        <v>87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>
        <v>231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279"/>
      <c r="AI50" s="279"/>
      <c r="AJ50" s="279"/>
      <c r="AK50" s="279"/>
      <c r="AL50" s="279"/>
      <c r="AM50" s="279"/>
      <c r="AN50" s="279"/>
      <c r="AO50" s="279"/>
    </row>
    <row r="51" spans="1:41" ht="15" customHeight="1">
      <c r="A51" s="280" t="s">
        <v>88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>
        <v>240</v>
      </c>
      <c r="W51" s="281"/>
      <c r="X51" s="281"/>
      <c r="Y51" s="281"/>
      <c r="Z51" s="278"/>
      <c r="AA51" s="278"/>
      <c r="AB51" s="278"/>
      <c r="AC51" s="278"/>
      <c r="AD51" s="278"/>
      <c r="AE51" s="278"/>
      <c r="AF51" s="278"/>
      <c r="AG51" s="278"/>
      <c r="AH51" s="279"/>
      <c r="AI51" s="279"/>
      <c r="AJ51" s="279"/>
      <c r="AK51" s="279"/>
      <c r="AL51" s="279"/>
      <c r="AM51" s="279"/>
      <c r="AN51" s="279"/>
      <c r="AO51" s="279"/>
    </row>
    <row r="52" spans="1:41" ht="15" customHeight="1">
      <c r="A52" s="280" t="s">
        <v>40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>
        <v>250</v>
      </c>
      <c r="W52" s="281"/>
      <c r="X52" s="281"/>
      <c r="Y52" s="281"/>
      <c r="Z52" s="278"/>
      <c r="AA52" s="278"/>
      <c r="AB52" s="278"/>
      <c r="AC52" s="278"/>
      <c r="AD52" s="278"/>
      <c r="AE52" s="278"/>
      <c r="AF52" s="278"/>
      <c r="AG52" s="278"/>
      <c r="AH52" s="279"/>
      <c r="AI52" s="279"/>
      <c r="AJ52" s="279"/>
      <c r="AK52" s="279"/>
      <c r="AL52" s="279"/>
      <c r="AM52" s="279"/>
      <c r="AN52" s="279"/>
      <c r="AO52" s="279"/>
    </row>
    <row r="53" spans="1:41" ht="15" customHeight="1">
      <c r="A53" s="282" t="s">
        <v>41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>
        <v>260</v>
      </c>
      <c r="W53" s="283"/>
      <c r="X53" s="283"/>
      <c r="Y53" s="283"/>
      <c r="Z53" s="278"/>
      <c r="AA53" s="278"/>
      <c r="AB53" s="278"/>
      <c r="AC53" s="278"/>
      <c r="AD53" s="278"/>
      <c r="AE53" s="278"/>
      <c r="AF53" s="278"/>
      <c r="AG53" s="278"/>
      <c r="AH53" s="279"/>
      <c r="AI53" s="279"/>
      <c r="AJ53" s="279"/>
      <c r="AK53" s="279"/>
      <c r="AL53" s="279"/>
      <c r="AM53" s="279"/>
      <c r="AN53" s="279"/>
      <c r="AO53" s="279"/>
    </row>
    <row r="54" spans="1:41" ht="15" customHeight="1">
      <c r="A54" s="282" t="s">
        <v>42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3">
        <v>270</v>
      </c>
      <c r="W54" s="283"/>
      <c r="X54" s="283"/>
      <c r="Y54" s="283"/>
      <c r="Z54" s="278"/>
      <c r="AA54" s="278"/>
      <c r="AB54" s="278"/>
      <c r="AC54" s="278"/>
      <c r="AD54" s="278"/>
      <c r="AE54" s="278"/>
      <c r="AF54" s="278"/>
      <c r="AG54" s="278"/>
      <c r="AH54" s="279"/>
      <c r="AI54" s="279"/>
      <c r="AJ54" s="279"/>
      <c r="AK54" s="279"/>
      <c r="AL54" s="279"/>
      <c r="AM54" s="279"/>
      <c r="AN54" s="279"/>
      <c r="AO54" s="279"/>
    </row>
    <row r="55" spans="1:41" ht="15" customHeight="1">
      <c r="A55" s="282" t="s">
        <v>43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3">
        <v>275</v>
      </c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279"/>
      <c r="AI55" s="279"/>
      <c r="AJ55" s="279"/>
      <c r="AK55" s="279"/>
      <c r="AL55" s="279"/>
      <c r="AM55" s="279"/>
      <c r="AN55" s="279"/>
      <c r="AO55" s="279"/>
    </row>
    <row r="56" spans="1:41" ht="12" customHeight="1">
      <c r="A56" s="282" t="s">
        <v>44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3">
        <v>280</v>
      </c>
      <c r="W56" s="283"/>
      <c r="X56" s="283"/>
      <c r="Y56" s="283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  <c r="AO56" s="279"/>
    </row>
    <row r="57" spans="1:41" ht="26.25" customHeight="1">
      <c r="A57" s="265" t="s">
        <v>45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7"/>
      <c r="V57" s="265" t="s">
        <v>19</v>
      </c>
      <c r="W57" s="266"/>
      <c r="X57" s="266"/>
      <c r="Y57" s="267"/>
      <c r="Z57" s="265" t="s">
        <v>20</v>
      </c>
      <c r="AA57" s="266"/>
      <c r="AB57" s="266"/>
      <c r="AC57" s="266"/>
      <c r="AD57" s="266"/>
      <c r="AE57" s="266"/>
      <c r="AF57" s="266"/>
      <c r="AG57" s="267"/>
      <c r="AH57" s="273" t="s">
        <v>78</v>
      </c>
      <c r="AI57" s="273"/>
      <c r="AJ57" s="273"/>
      <c r="AK57" s="273"/>
      <c r="AL57" s="273"/>
      <c r="AM57" s="273"/>
      <c r="AN57" s="273"/>
      <c r="AO57" s="273"/>
    </row>
    <row r="58" spans="1:41" ht="12.75" customHeight="1">
      <c r="A58" s="269">
        <v>1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1"/>
      <c r="V58" s="281">
        <v>2</v>
      </c>
      <c r="W58" s="281"/>
      <c r="X58" s="281"/>
      <c r="Y58" s="281"/>
      <c r="Z58" s="253">
        <v>3</v>
      </c>
      <c r="AA58" s="254"/>
      <c r="AB58" s="254"/>
      <c r="AC58" s="254"/>
      <c r="AD58" s="254"/>
      <c r="AE58" s="254"/>
      <c r="AF58" s="254"/>
      <c r="AG58" s="255"/>
      <c r="AH58" s="253">
        <v>4</v>
      </c>
      <c r="AI58" s="254"/>
      <c r="AJ58" s="254"/>
      <c r="AK58" s="254"/>
      <c r="AL58" s="254"/>
      <c r="AM58" s="254"/>
      <c r="AN58" s="254"/>
      <c r="AO58" s="255"/>
    </row>
    <row r="59" spans="1:41" ht="12.75" customHeight="1">
      <c r="A59" s="282" t="s">
        <v>46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1"/>
      <c r="W59" s="281"/>
      <c r="X59" s="281"/>
      <c r="Y59" s="281"/>
      <c r="Z59" s="278"/>
      <c r="AA59" s="278"/>
      <c r="AB59" s="278"/>
      <c r="AC59" s="278"/>
      <c r="AD59" s="278"/>
      <c r="AE59" s="278"/>
      <c r="AF59" s="278"/>
      <c r="AG59" s="278"/>
      <c r="AH59" s="279"/>
      <c r="AI59" s="279"/>
      <c r="AJ59" s="279"/>
      <c r="AK59" s="279"/>
      <c r="AL59" s="279"/>
      <c r="AM59" s="279"/>
      <c r="AN59" s="279"/>
      <c r="AO59" s="279"/>
    </row>
    <row r="60" spans="1:41" ht="12" customHeight="1">
      <c r="A60" s="280" t="s">
        <v>47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1">
        <v>300</v>
      </c>
      <c r="W60" s="281"/>
      <c r="X60" s="281"/>
      <c r="Y60" s="281"/>
      <c r="Z60" s="278"/>
      <c r="AA60" s="278"/>
      <c r="AB60" s="278"/>
      <c r="AC60" s="278"/>
      <c r="AD60" s="278"/>
      <c r="AE60" s="278"/>
      <c r="AF60" s="278"/>
      <c r="AG60" s="278"/>
      <c r="AH60" s="279"/>
      <c r="AI60" s="279"/>
      <c r="AJ60" s="279"/>
      <c r="AK60" s="279"/>
      <c r="AL60" s="279"/>
      <c r="AM60" s="279"/>
      <c r="AN60" s="279"/>
      <c r="AO60" s="279"/>
    </row>
    <row r="61" spans="1:41" ht="12" customHeight="1">
      <c r="A61" s="280" t="s">
        <v>48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1">
        <v>320</v>
      </c>
      <c r="W61" s="281"/>
      <c r="X61" s="281"/>
      <c r="Y61" s="281"/>
      <c r="Z61" s="278"/>
      <c r="AA61" s="278"/>
      <c r="AB61" s="278"/>
      <c r="AC61" s="278"/>
      <c r="AD61" s="278"/>
      <c r="AE61" s="278"/>
      <c r="AF61" s="278"/>
      <c r="AG61" s="278"/>
      <c r="AH61" s="279"/>
      <c r="AI61" s="279"/>
      <c r="AJ61" s="279"/>
      <c r="AK61" s="279"/>
      <c r="AL61" s="279"/>
      <c r="AM61" s="279"/>
      <c r="AN61" s="279"/>
      <c r="AO61" s="279"/>
    </row>
    <row r="62" spans="1:41" ht="12" customHeight="1">
      <c r="A62" s="280" t="s">
        <v>49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1">
        <v>340</v>
      </c>
      <c r="W62" s="281"/>
      <c r="X62" s="281"/>
      <c r="Y62" s="281"/>
      <c r="Z62" s="278"/>
      <c r="AA62" s="278"/>
      <c r="AB62" s="278"/>
      <c r="AC62" s="278"/>
      <c r="AD62" s="278"/>
      <c r="AE62" s="278"/>
      <c r="AF62" s="278"/>
      <c r="AG62" s="278"/>
      <c r="AH62" s="279"/>
      <c r="AI62" s="279"/>
      <c r="AJ62" s="279"/>
      <c r="AK62" s="279"/>
      <c r="AL62" s="279"/>
      <c r="AM62" s="279"/>
      <c r="AN62" s="279"/>
      <c r="AO62" s="279"/>
    </row>
    <row r="63" spans="1:41" ht="12" customHeight="1">
      <c r="A63" s="280" t="s">
        <v>50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1">
        <v>350</v>
      </c>
      <c r="W63" s="281"/>
      <c r="X63" s="281"/>
      <c r="Y63" s="281"/>
      <c r="Z63" s="278"/>
      <c r="AA63" s="278"/>
      <c r="AB63" s="278"/>
      <c r="AC63" s="278"/>
      <c r="AD63" s="278"/>
      <c r="AE63" s="278"/>
      <c r="AF63" s="278"/>
      <c r="AG63" s="278"/>
      <c r="AH63" s="279"/>
      <c r="AI63" s="279"/>
      <c r="AJ63" s="279"/>
      <c r="AK63" s="279"/>
      <c r="AL63" s="279"/>
      <c r="AM63" s="279"/>
      <c r="AN63" s="279"/>
      <c r="AO63" s="279"/>
    </row>
    <row r="64" spans="1:41" ht="12" customHeight="1">
      <c r="A64" s="280" t="s">
        <v>51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1">
        <v>360</v>
      </c>
      <c r="W64" s="281"/>
      <c r="X64" s="281"/>
      <c r="Y64" s="281"/>
      <c r="Z64" s="253" t="s">
        <v>117</v>
      </c>
      <c r="AA64" s="254"/>
      <c r="AB64" s="254"/>
      <c r="AC64" s="254"/>
      <c r="AD64" s="254"/>
      <c r="AE64" s="254"/>
      <c r="AF64" s="254"/>
      <c r="AG64" s="255"/>
      <c r="AH64" s="253" t="s">
        <v>118</v>
      </c>
      <c r="AI64" s="254"/>
      <c r="AJ64" s="254"/>
      <c r="AK64" s="254"/>
      <c r="AL64" s="254"/>
      <c r="AM64" s="254"/>
      <c r="AN64" s="254"/>
      <c r="AO64" s="255"/>
    </row>
    <row r="65" spans="1:41" ht="12" customHeight="1">
      <c r="A65" s="282" t="s">
        <v>30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3">
        <v>380</v>
      </c>
      <c r="W65" s="283"/>
      <c r="X65" s="283"/>
      <c r="Y65" s="283"/>
      <c r="Z65" s="278"/>
      <c r="AA65" s="278"/>
      <c r="AB65" s="278"/>
      <c r="AC65" s="278"/>
      <c r="AD65" s="278"/>
      <c r="AE65" s="278"/>
      <c r="AF65" s="278"/>
      <c r="AG65" s="278"/>
      <c r="AH65" s="279"/>
      <c r="AI65" s="279"/>
      <c r="AJ65" s="279"/>
      <c r="AK65" s="279"/>
      <c r="AL65" s="279"/>
      <c r="AM65" s="279"/>
      <c r="AN65" s="279"/>
      <c r="AO65" s="279"/>
    </row>
    <row r="66" spans="1:41" ht="25.5" customHeight="1">
      <c r="A66" s="282" t="s">
        <v>52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3">
        <v>430</v>
      </c>
      <c r="W66" s="283"/>
      <c r="X66" s="283"/>
      <c r="Y66" s="283"/>
      <c r="Z66" s="278"/>
      <c r="AA66" s="278"/>
      <c r="AB66" s="278"/>
      <c r="AC66" s="278"/>
      <c r="AD66" s="278"/>
      <c r="AE66" s="278"/>
      <c r="AF66" s="278"/>
      <c r="AG66" s="278"/>
      <c r="AH66" s="279"/>
      <c r="AI66" s="279"/>
      <c r="AJ66" s="279"/>
      <c r="AK66" s="279"/>
      <c r="AL66" s="279"/>
      <c r="AM66" s="279"/>
      <c r="AN66" s="279"/>
      <c r="AO66" s="279"/>
    </row>
    <row r="67" spans="1:41" ht="12" customHeight="1">
      <c r="A67" s="282" t="s">
        <v>53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3">
        <v>480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279"/>
      <c r="AI67" s="279"/>
      <c r="AJ67" s="279"/>
      <c r="AK67" s="279"/>
      <c r="AL67" s="279"/>
      <c r="AM67" s="279"/>
      <c r="AN67" s="279"/>
      <c r="AO67" s="279"/>
    </row>
    <row r="68" spans="1:41" ht="12" customHeight="1">
      <c r="A68" s="282" t="s">
        <v>54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/>
      <c r="W68" s="283"/>
      <c r="X68" s="283"/>
      <c r="Y68" s="283"/>
      <c r="Z68" s="278"/>
      <c r="AA68" s="278"/>
      <c r="AB68" s="278"/>
      <c r="AC68" s="278"/>
      <c r="AD68" s="278"/>
      <c r="AE68" s="278"/>
      <c r="AF68" s="278"/>
      <c r="AG68" s="278"/>
      <c r="AH68" s="279"/>
      <c r="AI68" s="279"/>
      <c r="AJ68" s="279"/>
      <c r="AK68" s="279"/>
      <c r="AL68" s="279"/>
      <c r="AM68" s="279"/>
      <c r="AN68" s="279"/>
      <c r="AO68" s="279"/>
    </row>
    <row r="69" spans="1:41" ht="12" customHeight="1">
      <c r="A69" s="280" t="s">
        <v>55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1">
        <v>500</v>
      </c>
      <c r="W69" s="281"/>
      <c r="X69" s="281"/>
      <c r="Y69" s="281"/>
      <c r="Z69" s="278"/>
      <c r="AA69" s="278"/>
      <c r="AB69" s="278"/>
      <c r="AC69" s="278"/>
      <c r="AD69" s="278"/>
      <c r="AE69" s="278"/>
      <c r="AF69" s="278"/>
      <c r="AG69" s="278"/>
      <c r="AH69" s="279"/>
      <c r="AI69" s="279"/>
      <c r="AJ69" s="279"/>
      <c r="AK69" s="279"/>
      <c r="AL69" s="279"/>
      <c r="AM69" s="279"/>
      <c r="AN69" s="279"/>
      <c r="AO69" s="279"/>
    </row>
    <row r="70" spans="1:41" ht="13.5" customHeight="1">
      <c r="A70" s="280" t="s">
        <v>56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1">
        <v>510</v>
      </c>
      <c r="W70" s="281"/>
      <c r="X70" s="281"/>
      <c r="Y70" s="281"/>
      <c r="Z70" s="278"/>
      <c r="AA70" s="278"/>
      <c r="AB70" s="278"/>
      <c r="AC70" s="278"/>
      <c r="AD70" s="278"/>
      <c r="AE70" s="278"/>
      <c r="AF70" s="278"/>
      <c r="AG70" s="278"/>
      <c r="AH70" s="279"/>
      <c r="AI70" s="279"/>
      <c r="AJ70" s="279"/>
      <c r="AK70" s="279"/>
      <c r="AL70" s="279"/>
      <c r="AM70" s="279"/>
      <c r="AN70" s="279"/>
      <c r="AO70" s="279"/>
    </row>
    <row r="71" spans="1:41" ht="12" customHeight="1">
      <c r="A71" s="280" t="s">
        <v>57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1">
        <v>530</v>
      </c>
      <c r="W71" s="281"/>
      <c r="X71" s="281"/>
      <c r="Y71" s="281"/>
      <c r="Z71" s="278"/>
      <c r="AA71" s="278"/>
      <c r="AB71" s="278"/>
      <c r="AC71" s="278"/>
      <c r="AD71" s="278"/>
      <c r="AE71" s="278"/>
      <c r="AF71" s="278"/>
      <c r="AG71" s="278"/>
      <c r="AH71" s="279"/>
      <c r="AI71" s="279"/>
      <c r="AJ71" s="279"/>
      <c r="AK71" s="279"/>
      <c r="AL71" s="279"/>
      <c r="AM71" s="279"/>
      <c r="AN71" s="279"/>
      <c r="AO71" s="279"/>
    </row>
    <row r="72" spans="1:41" ht="12" customHeight="1">
      <c r="A72" s="280" t="s">
        <v>58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1"/>
      <c r="W72" s="281"/>
      <c r="X72" s="281"/>
      <c r="Y72" s="281"/>
      <c r="Z72" s="278"/>
      <c r="AA72" s="278"/>
      <c r="AB72" s="278"/>
      <c r="AC72" s="278"/>
      <c r="AD72" s="278"/>
      <c r="AE72" s="278"/>
      <c r="AF72" s="278"/>
      <c r="AG72" s="278"/>
      <c r="AH72" s="279"/>
      <c r="AI72" s="279"/>
      <c r="AJ72" s="279"/>
      <c r="AK72" s="279"/>
      <c r="AL72" s="279"/>
      <c r="AM72" s="279"/>
      <c r="AN72" s="279"/>
      <c r="AO72" s="279"/>
    </row>
    <row r="73" spans="1:41" ht="12" customHeight="1">
      <c r="A73" s="280" t="s">
        <v>120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1">
        <v>550</v>
      </c>
      <c r="W73" s="281"/>
      <c r="X73" s="281"/>
      <c r="Y73" s="281"/>
      <c r="Z73" s="278"/>
      <c r="AA73" s="278"/>
      <c r="AB73" s="278"/>
      <c r="AC73" s="278"/>
      <c r="AD73" s="278"/>
      <c r="AE73" s="278"/>
      <c r="AF73" s="278"/>
      <c r="AG73" s="278"/>
      <c r="AH73" s="279"/>
      <c r="AI73" s="279"/>
      <c r="AJ73" s="279"/>
      <c r="AK73" s="279"/>
      <c r="AL73" s="279"/>
      <c r="AM73" s="279"/>
      <c r="AN73" s="279"/>
      <c r="AO73" s="279"/>
    </row>
    <row r="74" spans="1:41" ht="12" customHeight="1">
      <c r="A74" s="280" t="s">
        <v>121</v>
      </c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1">
        <v>570</v>
      </c>
      <c r="W74" s="281"/>
      <c r="X74" s="281"/>
      <c r="Y74" s="281"/>
      <c r="Z74" s="278"/>
      <c r="AA74" s="278"/>
      <c r="AB74" s="278"/>
      <c r="AC74" s="278"/>
      <c r="AD74" s="278"/>
      <c r="AE74" s="278"/>
      <c r="AF74" s="278"/>
      <c r="AG74" s="278"/>
      <c r="AH74" s="279"/>
      <c r="AI74" s="279"/>
      <c r="AJ74" s="279"/>
      <c r="AK74" s="279"/>
      <c r="AL74" s="279"/>
      <c r="AM74" s="279"/>
      <c r="AN74" s="279"/>
      <c r="AO74" s="279"/>
    </row>
    <row r="75" spans="1:41" ht="12" customHeight="1">
      <c r="A75" s="280" t="s">
        <v>122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1">
        <v>580</v>
      </c>
      <c r="W75" s="281"/>
      <c r="X75" s="281"/>
      <c r="Y75" s="281"/>
      <c r="Z75" s="278"/>
      <c r="AA75" s="278"/>
      <c r="AB75" s="278"/>
      <c r="AC75" s="278"/>
      <c r="AD75" s="278"/>
      <c r="AE75" s="278"/>
      <c r="AF75" s="278"/>
      <c r="AG75" s="278"/>
      <c r="AH75" s="279"/>
      <c r="AI75" s="279"/>
      <c r="AJ75" s="279"/>
      <c r="AK75" s="279"/>
      <c r="AL75" s="279"/>
      <c r="AM75" s="279"/>
      <c r="AN75" s="279"/>
      <c r="AO75" s="279"/>
    </row>
    <row r="76" spans="1:41" ht="12" customHeight="1">
      <c r="A76" s="280" t="s">
        <v>59</v>
      </c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1">
        <v>610</v>
      </c>
      <c r="W76" s="281"/>
      <c r="X76" s="281"/>
      <c r="Y76" s="281"/>
      <c r="Z76" s="278"/>
      <c r="AA76" s="278"/>
      <c r="AB76" s="278"/>
      <c r="AC76" s="278"/>
      <c r="AD76" s="278"/>
      <c r="AE76" s="278"/>
      <c r="AF76" s="278"/>
      <c r="AG76" s="278"/>
      <c r="AH76" s="279"/>
      <c r="AI76" s="279"/>
      <c r="AJ76" s="279"/>
      <c r="AK76" s="279"/>
      <c r="AL76" s="279"/>
      <c r="AM76" s="279"/>
      <c r="AN76" s="279"/>
      <c r="AO76" s="279"/>
    </row>
    <row r="77" spans="1:41" ht="12" customHeight="1">
      <c r="A77" s="282" t="s">
        <v>60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3">
        <v>620</v>
      </c>
      <c r="W77" s="283"/>
      <c r="X77" s="283"/>
      <c r="Y77" s="283"/>
      <c r="Z77" s="278"/>
      <c r="AA77" s="278"/>
      <c r="AB77" s="278"/>
      <c r="AC77" s="278"/>
      <c r="AD77" s="278"/>
      <c r="AE77" s="278"/>
      <c r="AF77" s="278"/>
      <c r="AG77" s="278"/>
      <c r="AH77" s="279"/>
      <c r="AI77" s="279"/>
      <c r="AJ77" s="279"/>
      <c r="AK77" s="279"/>
      <c r="AL77" s="279"/>
      <c r="AM77" s="279"/>
      <c r="AN77" s="279"/>
      <c r="AO77" s="279"/>
    </row>
    <row r="78" spans="1:41" ht="12" customHeight="1">
      <c r="A78" s="282" t="s">
        <v>61</v>
      </c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3">
        <v>630</v>
      </c>
      <c r="W78" s="283"/>
      <c r="X78" s="283"/>
      <c r="Y78" s="283"/>
      <c r="Z78" s="278"/>
      <c r="AA78" s="278"/>
      <c r="AB78" s="278"/>
      <c r="AC78" s="278"/>
      <c r="AD78" s="278"/>
      <c r="AE78" s="278"/>
      <c r="AF78" s="278"/>
      <c r="AG78" s="278"/>
      <c r="AH78" s="279"/>
      <c r="AI78" s="279"/>
      <c r="AJ78" s="279"/>
      <c r="AK78" s="279"/>
      <c r="AL78" s="279"/>
      <c r="AM78" s="279"/>
      <c r="AN78" s="279"/>
      <c r="AO78" s="279"/>
    </row>
    <row r="79" spans="1:41" ht="12" customHeight="1">
      <c r="A79" s="282" t="s">
        <v>44</v>
      </c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3">
        <v>640</v>
      </c>
      <c r="W79" s="283"/>
      <c r="X79" s="283"/>
      <c r="Y79" s="283"/>
      <c r="Z79" s="278"/>
      <c r="AA79" s="278"/>
      <c r="AB79" s="278"/>
      <c r="AC79" s="278"/>
      <c r="AD79" s="278"/>
      <c r="AE79" s="278"/>
      <c r="AF79" s="278"/>
      <c r="AG79" s="278"/>
      <c r="AH79" s="279"/>
      <c r="AI79" s="279"/>
      <c r="AJ79" s="279"/>
      <c r="AK79" s="279"/>
      <c r="AL79" s="279"/>
      <c r="AM79" s="279"/>
      <c r="AN79" s="279"/>
      <c r="AO79" s="279"/>
    </row>
    <row r="80" spans="1:41" ht="21" customHeight="1">
      <c r="A80" s="274" t="s">
        <v>112</v>
      </c>
      <c r="B80" s="275"/>
      <c r="C80" s="275"/>
      <c r="D80" s="275"/>
      <c r="E80" s="275"/>
      <c r="F80" s="275"/>
      <c r="G80" s="275"/>
      <c r="H80" s="275"/>
      <c r="I80" s="275"/>
      <c r="J80" s="275"/>
      <c r="K80" s="16"/>
      <c r="L80" s="277" t="s">
        <v>89</v>
      </c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C80" s="276" t="s">
        <v>90</v>
      </c>
      <c r="AD80" s="247"/>
      <c r="AE80" s="247"/>
      <c r="AF80" s="247"/>
      <c r="AG80" s="247"/>
      <c r="AH80" s="247"/>
      <c r="AI80" s="247"/>
      <c r="AJ80" s="247"/>
    </row>
    <row r="81" spans="1:41" ht="6.75" customHeight="1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>
      <c r="A82" s="260" t="s">
        <v>62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</row>
    <row r="83" spans="1:41" ht="12.75" customHeight="1">
      <c r="A83" s="261" t="s">
        <v>63</v>
      </c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</row>
    <row r="84" spans="1:41" ht="14.25" customHeight="1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256" t="s">
        <v>123</v>
      </c>
      <c r="AA84" s="256"/>
      <c r="AB84" s="256"/>
      <c r="AC84" s="256"/>
      <c r="AD84" s="256"/>
      <c r="AE84" s="256"/>
      <c r="AF84" s="256"/>
      <c r="AG84" s="256"/>
    </row>
    <row r="85" spans="1:41" ht="15" customHeight="1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256" t="s">
        <v>16</v>
      </c>
      <c r="AA85" s="256"/>
      <c r="AB85" s="256"/>
      <c r="AC85" s="256"/>
      <c r="AD85" s="256"/>
      <c r="AE85" s="256"/>
      <c r="AF85" s="256"/>
      <c r="AG85" s="256"/>
      <c r="AH85" s="257">
        <v>1801007</v>
      </c>
      <c r="AI85" s="258"/>
      <c r="AJ85" s="258"/>
      <c r="AK85" s="258"/>
      <c r="AL85" s="258"/>
      <c r="AM85" s="258"/>
      <c r="AN85" s="258"/>
      <c r="AO85" s="259"/>
    </row>
    <row r="86" spans="1:41" ht="6.75" customHeight="1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>
      <c r="A87" s="273" t="s">
        <v>64</v>
      </c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68" t="s">
        <v>19</v>
      </c>
      <c r="W87" s="268"/>
      <c r="X87" s="268"/>
      <c r="Y87" s="268"/>
      <c r="Z87" s="262" t="s">
        <v>113</v>
      </c>
      <c r="AA87" s="263"/>
      <c r="AB87" s="263"/>
      <c r="AC87" s="263"/>
      <c r="AD87" s="263"/>
      <c r="AE87" s="263"/>
      <c r="AF87" s="263"/>
      <c r="AG87" s="264"/>
      <c r="AH87" s="265" t="s">
        <v>65</v>
      </c>
      <c r="AI87" s="266"/>
      <c r="AJ87" s="266"/>
      <c r="AK87" s="266"/>
      <c r="AL87" s="266"/>
      <c r="AM87" s="266"/>
      <c r="AN87" s="266"/>
      <c r="AO87" s="267"/>
    </row>
    <row r="88" spans="1:41" ht="12" customHeight="1">
      <c r="A88" s="269">
        <v>1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1"/>
      <c r="V88" s="249" t="s">
        <v>95</v>
      </c>
      <c r="W88" s="249"/>
      <c r="X88" s="249"/>
      <c r="Y88" s="249"/>
      <c r="Z88" s="272">
        <v>3</v>
      </c>
      <c r="AA88" s="272"/>
      <c r="AB88" s="272"/>
      <c r="AC88" s="272"/>
      <c r="AD88" s="272"/>
      <c r="AE88" s="272"/>
      <c r="AF88" s="272"/>
      <c r="AG88" s="272"/>
      <c r="AH88" s="272">
        <v>4</v>
      </c>
      <c r="AI88" s="272"/>
      <c r="AJ88" s="272"/>
      <c r="AK88" s="272"/>
      <c r="AL88" s="272"/>
      <c r="AM88" s="272"/>
      <c r="AN88" s="272"/>
      <c r="AO88" s="272"/>
    </row>
    <row r="89" spans="1:41" ht="24.75" customHeight="1">
      <c r="A89" s="248" t="s">
        <v>66</v>
      </c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9" t="s">
        <v>107</v>
      </c>
      <c r="W89" s="249"/>
      <c r="X89" s="249"/>
      <c r="Y89" s="249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</row>
    <row r="90" spans="1:41" ht="15" customHeight="1">
      <c r="A90" s="248" t="s">
        <v>67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9" t="s">
        <v>96</v>
      </c>
      <c r="W90" s="249"/>
      <c r="X90" s="249"/>
      <c r="Y90" s="249"/>
      <c r="Z90" s="253" t="s">
        <v>117</v>
      </c>
      <c r="AA90" s="254"/>
      <c r="AB90" s="254"/>
      <c r="AC90" s="254"/>
      <c r="AD90" s="254"/>
      <c r="AE90" s="254"/>
      <c r="AF90" s="254"/>
      <c r="AG90" s="255"/>
      <c r="AH90" s="253" t="s">
        <v>118</v>
      </c>
      <c r="AI90" s="254"/>
      <c r="AJ90" s="254"/>
      <c r="AK90" s="254"/>
      <c r="AL90" s="254"/>
      <c r="AM90" s="254"/>
      <c r="AN90" s="254"/>
      <c r="AO90" s="255"/>
    </row>
    <row r="91" spans="1:41" ht="24" customHeight="1">
      <c r="A91" s="248" t="s">
        <v>114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9" t="s">
        <v>97</v>
      </c>
      <c r="W91" s="249"/>
      <c r="X91" s="249"/>
      <c r="Y91" s="249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</row>
    <row r="92" spans="1:41" ht="12.75" customHeight="1">
      <c r="A92" s="248" t="s">
        <v>68</v>
      </c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9" t="s">
        <v>103</v>
      </c>
      <c r="W92" s="249"/>
      <c r="X92" s="249"/>
      <c r="Y92" s="249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</row>
    <row r="93" spans="1:41" ht="12.75" customHeight="1">
      <c r="A93" s="248" t="s">
        <v>69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9" t="s">
        <v>108</v>
      </c>
      <c r="W93" s="249"/>
      <c r="X93" s="249"/>
      <c r="Y93" s="249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</row>
    <row r="94" spans="1:41" ht="12" customHeight="1">
      <c r="A94" s="251" t="s">
        <v>106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52" t="s">
        <v>104</v>
      </c>
      <c r="W94" s="252"/>
      <c r="X94" s="252"/>
      <c r="Y94" s="252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</row>
    <row r="95" spans="1:41" ht="11.25" customHeight="1">
      <c r="A95" s="248" t="s">
        <v>70</v>
      </c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9" t="s">
        <v>105</v>
      </c>
      <c r="W95" s="249"/>
      <c r="X95" s="249"/>
      <c r="Y95" s="249"/>
      <c r="Z95" s="253" t="s">
        <v>117</v>
      </c>
      <c r="AA95" s="254"/>
      <c r="AB95" s="254"/>
      <c r="AC95" s="254"/>
      <c r="AD95" s="254"/>
      <c r="AE95" s="254"/>
      <c r="AF95" s="254"/>
      <c r="AG95" s="255"/>
      <c r="AH95" s="253" t="s">
        <v>118</v>
      </c>
      <c r="AI95" s="254"/>
      <c r="AJ95" s="254"/>
      <c r="AK95" s="254"/>
      <c r="AL95" s="254"/>
      <c r="AM95" s="254"/>
      <c r="AN95" s="254"/>
      <c r="AO95" s="255"/>
    </row>
    <row r="96" spans="1:41" ht="11.25" customHeight="1">
      <c r="A96" s="248" t="s">
        <v>71</v>
      </c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9" t="s">
        <v>109</v>
      </c>
      <c r="W96" s="249"/>
      <c r="X96" s="249"/>
      <c r="Y96" s="249"/>
      <c r="Z96" s="253" t="s">
        <v>117</v>
      </c>
      <c r="AA96" s="254"/>
      <c r="AB96" s="254"/>
      <c r="AC96" s="254"/>
      <c r="AD96" s="254"/>
      <c r="AE96" s="254"/>
      <c r="AF96" s="254"/>
      <c r="AG96" s="255"/>
      <c r="AH96" s="253" t="s">
        <v>118</v>
      </c>
      <c r="AI96" s="254"/>
      <c r="AJ96" s="254"/>
      <c r="AK96" s="254"/>
      <c r="AL96" s="254"/>
      <c r="AM96" s="254"/>
      <c r="AN96" s="254"/>
      <c r="AO96" s="255"/>
    </row>
    <row r="97" spans="1:41" ht="12" customHeight="1">
      <c r="A97" s="248" t="s">
        <v>119</v>
      </c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9" t="s">
        <v>111</v>
      </c>
      <c r="W97" s="249"/>
      <c r="X97" s="249"/>
      <c r="Y97" s="249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</row>
    <row r="98" spans="1:41" ht="11.25" customHeight="1">
      <c r="A98" s="248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93" t="s">
        <v>110</v>
      </c>
      <c r="W98" s="293"/>
      <c r="X98" s="293"/>
      <c r="Y98" s="293"/>
      <c r="Z98" s="253"/>
      <c r="AA98" s="254"/>
      <c r="AB98" s="254"/>
      <c r="AC98" s="254"/>
      <c r="AD98" s="254"/>
      <c r="AE98" s="254"/>
      <c r="AF98" s="254"/>
      <c r="AG98" s="255"/>
      <c r="AH98" s="253"/>
      <c r="AI98" s="254"/>
      <c r="AJ98" s="254"/>
      <c r="AK98" s="254"/>
      <c r="AL98" s="254"/>
      <c r="AM98" s="254"/>
      <c r="AN98" s="254"/>
      <c r="AO98" s="255"/>
    </row>
    <row r="99" spans="1:41" ht="12" customHeight="1">
      <c r="A99" s="248" t="s">
        <v>72</v>
      </c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9">
        <v>100</v>
      </c>
      <c r="W99" s="249"/>
      <c r="X99" s="249"/>
      <c r="Y99" s="249"/>
      <c r="Z99" s="253" t="s">
        <v>117</v>
      </c>
      <c r="AA99" s="254"/>
      <c r="AB99" s="254"/>
      <c r="AC99" s="254"/>
      <c r="AD99" s="254"/>
      <c r="AE99" s="254"/>
      <c r="AF99" s="254"/>
      <c r="AG99" s="255"/>
      <c r="AH99" s="253" t="s">
        <v>118</v>
      </c>
      <c r="AI99" s="254"/>
      <c r="AJ99" s="254"/>
      <c r="AK99" s="254"/>
      <c r="AL99" s="254"/>
      <c r="AM99" s="254"/>
      <c r="AN99" s="254"/>
      <c r="AO99" s="255"/>
    </row>
    <row r="100" spans="1:41" ht="12" customHeight="1">
      <c r="A100" s="251" t="s">
        <v>73</v>
      </c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52">
        <v>120</v>
      </c>
      <c r="W100" s="252"/>
      <c r="X100" s="252"/>
      <c r="Y100" s="252"/>
      <c r="Z100" s="253" t="s">
        <v>117</v>
      </c>
      <c r="AA100" s="254"/>
      <c r="AB100" s="254"/>
      <c r="AC100" s="254"/>
      <c r="AD100" s="254"/>
      <c r="AE100" s="254"/>
      <c r="AF100" s="254"/>
      <c r="AG100" s="255"/>
      <c r="AH100" s="253" t="s">
        <v>118</v>
      </c>
      <c r="AI100" s="254"/>
      <c r="AJ100" s="254"/>
      <c r="AK100" s="254"/>
      <c r="AL100" s="254"/>
      <c r="AM100" s="254"/>
      <c r="AN100" s="254"/>
      <c r="AO100" s="255"/>
    </row>
    <row r="101" spans="1:41" ht="12" customHeight="1">
      <c r="A101" s="248" t="s">
        <v>115</v>
      </c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9">
        <v>130</v>
      </c>
      <c r="W101" s="249"/>
      <c r="X101" s="249"/>
      <c r="Y101" s="249"/>
      <c r="Z101" s="250"/>
      <c r="AA101" s="250"/>
      <c r="AB101" s="250"/>
      <c r="AC101" s="250"/>
      <c r="AD101" s="250"/>
      <c r="AE101" s="250"/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</row>
    <row r="102" spans="1:41" ht="12" customHeight="1">
      <c r="A102" s="248" t="s">
        <v>74</v>
      </c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9">
        <v>140</v>
      </c>
      <c r="W102" s="249"/>
      <c r="X102" s="249"/>
      <c r="Y102" s="249"/>
      <c r="Z102" s="253" t="s">
        <v>117</v>
      </c>
      <c r="AA102" s="254"/>
      <c r="AB102" s="254"/>
      <c r="AC102" s="254"/>
      <c r="AD102" s="254"/>
      <c r="AE102" s="254"/>
      <c r="AF102" s="254"/>
      <c r="AG102" s="255"/>
      <c r="AH102" s="253" t="s">
        <v>118</v>
      </c>
      <c r="AI102" s="254"/>
      <c r="AJ102" s="254"/>
      <c r="AK102" s="254"/>
      <c r="AL102" s="254"/>
      <c r="AM102" s="254"/>
      <c r="AN102" s="254"/>
      <c r="AO102" s="255"/>
    </row>
    <row r="103" spans="1:41" ht="12" customHeight="1">
      <c r="A103" s="251" t="s">
        <v>116</v>
      </c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52">
        <v>150</v>
      </c>
      <c r="W103" s="252"/>
      <c r="X103" s="252"/>
      <c r="Y103" s="252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</row>
    <row r="104" spans="1:41" ht="12" customHeight="1">
      <c r="A104" s="251" t="s">
        <v>75</v>
      </c>
      <c r="B104" s="251"/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2">
        <v>160</v>
      </c>
      <c r="W104" s="252"/>
      <c r="X104" s="252"/>
      <c r="Y104" s="252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</row>
    <row r="105" spans="1:41" ht="6.75" customHeight="1"/>
    <row r="106" spans="1:41" ht="15" customHeight="1">
      <c r="B106" s="247" t="s">
        <v>91</v>
      </c>
      <c r="C106" s="247"/>
      <c r="D106" s="247"/>
      <c r="E106" s="247"/>
      <c r="F106" s="247"/>
      <c r="G106" s="247"/>
      <c r="H106" s="247"/>
      <c r="I106" s="247"/>
      <c r="Q106" s="246"/>
      <c r="R106" s="246"/>
      <c r="S106" s="246"/>
      <c r="T106" s="246"/>
      <c r="U106" s="246"/>
      <c r="V106" s="246"/>
      <c r="W106" s="246"/>
      <c r="X106" s="246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</row>
    <row r="107" spans="1:41">
      <c r="Q107" s="244" t="s">
        <v>94</v>
      </c>
      <c r="R107" s="245"/>
      <c r="S107" s="245"/>
      <c r="T107" s="245"/>
      <c r="U107" s="245"/>
      <c r="V107" s="245"/>
      <c r="W107" s="245"/>
      <c r="X107" s="245"/>
      <c r="AE107" s="244" t="s">
        <v>93</v>
      </c>
      <c r="AF107" s="245"/>
      <c r="AG107" s="245"/>
      <c r="AH107" s="245"/>
      <c r="AI107" s="245"/>
      <c r="AJ107" s="245"/>
      <c r="AK107" s="245"/>
      <c r="AL107" s="245"/>
      <c r="AM107" s="245"/>
      <c r="AN107" s="245"/>
    </row>
    <row r="108" spans="1:41" ht="4.5" customHeight="1"/>
    <row r="109" spans="1:41">
      <c r="B109" s="247" t="s">
        <v>92</v>
      </c>
      <c r="C109" s="247"/>
      <c r="D109" s="247"/>
      <c r="E109" s="247"/>
      <c r="F109" s="247"/>
      <c r="G109" s="247"/>
      <c r="H109" s="247"/>
      <c r="I109" s="247"/>
      <c r="Q109" s="246"/>
      <c r="R109" s="246"/>
      <c r="S109" s="246"/>
      <c r="T109" s="246"/>
      <c r="U109" s="246"/>
      <c r="V109" s="246"/>
      <c r="W109" s="246"/>
      <c r="X109" s="246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</row>
    <row r="110" spans="1:41">
      <c r="Q110" s="244" t="s">
        <v>94</v>
      </c>
      <c r="R110" s="245"/>
      <c r="S110" s="245"/>
      <c r="T110" s="245"/>
      <c r="U110" s="245"/>
      <c r="V110" s="245"/>
      <c r="W110" s="245"/>
      <c r="X110" s="245"/>
      <c r="AE110" s="244" t="s">
        <v>93</v>
      </c>
      <c r="AF110" s="245"/>
      <c r="AG110" s="245"/>
      <c r="AH110" s="245"/>
      <c r="AI110" s="245"/>
      <c r="AJ110" s="245"/>
      <c r="AK110" s="245"/>
      <c r="AL110" s="245"/>
      <c r="AM110" s="245"/>
      <c r="AN110" s="245"/>
    </row>
    <row r="111" spans="1:41" ht="7.5" customHeight="1"/>
  </sheetData>
  <mergeCells count="358">
    <mergeCell ref="W1:AO1"/>
    <mergeCell ref="A3:AO3"/>
    <mergeCell ref="A4:AO4"/>
    <mergeCell ref="AH5:AO5"/>
    <mergeCell ref="A6:AF6"/>
    <mergeCell ref="AH6:AJ6"/>
    <mergeCell ref="AK6:AL6"/>
    <mergeCell ref="AM6:AO6"/>
    <mergeCell ref="A7:F7"/>
    <mergeCell ref="G7:Z7"/>
    <mergeCell ref="AB7:AG7"/>
    <mergeCell ref="AH7:AO7"/>
    <mergeCell ref="A8:D8"/>
    <mergeCell ref="E8:AA8"/>
    <mergeCell ref="AB8:AG8"/>
    <mergeCell ref="AH8:AO8"/>
    <mergeCell ref="A9:I9"/>
    <mergeCell ref="J9:Z9"/>
    <mergeCell ref="AB9:AG9"/>
    <mergeCell ref="AH9:AO9"/>
    <mergeCell ref="A10:K10"/>
    <mergeCell ref="L10:Z10"/>
    <mergeCell ref="AB10:AG10"/>
    <mergeCell ref="AH10:AO10"/>
    <mergeCell ref="A11:J11"/>
    <mergeCell ref="K11:Z11"/>
    <mergeCell ref="AB11:AG11"/>
    <mergeCell ref="AH11:AO11"/>
    <mergeCell ref="A12:K12"/>
    <mergeCell ref="A13:J13"/>
    <mergeCell ref="A14:C14"/>
    <mergeCell ref="A19:S19"/>
    <mergeCell ref="T19:Y19"/>
    <mergeCell ref="Z19:AG19"/>
    <mergeCell ref="AH19:AO19"/>
    <mergeCell ref="A20:S2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80:J80"/>
    <mergeCell ref="L80:Z80"/>
    <mergeCell ref="AC80:AJ80"/>
    <mergeCell ref="A82:AO82"/>
    <mergeCell ref="A83:AO83"/>
    <mergeCell ref="Z84:AG84"/>
    <mergeCell ref="Z85:AG85"/>
    <mergeCell ref="AH85:AO85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7:U97"/>
    <mergeCell ref="V97:Y97"/>
    <mergeCell ref="Z97:AG97"/>
    <mergeCell ref="AH97:AO97"/>
    <mergeCell ref="A98:U98"/>
    <mergeCell ref="V98:Y98"/>
    <mergeCell ref="Z98:AG98"/>
    <mergeCell ref="AH98:AO98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A102:U102"/>
    <mergeCell ref="V102:Y102"/>
    <mergeCell ref="Z102:AG102"/>
    <mergeCell ref="AH102:AO102"/>
    <mergeCell ref="Q107:X107"/>
    <mergeCell ref="AE107:AN107"/>
    <mergeCell ref="B109:I109"/>
    <mergeCell ref="Q109:X109"/>
    <mergeCell ref="AE109:AN109"/>
    <mergeCell ref="Q110:X110"/>
    <mergeCell ref="AE110:AN110"/>
    <mergeCell ref="A103:U103"/>
    <mergeCell ref="V103:Y103"/>
    <mergeCell ref="Z103:AG103"/>
    <mergeCell ref="AH103:AO103"/>
    <mergeCell ref="A104:U104"/>
    <mergeCell ref="V104:Y104"/>
    <mergeCell ref="Z104:AG104"/>
    <mergeCell ref="AH104:AO104"/>
    <mergeCell ref="B106:I106"/>
    <mergeCell ref="Q106:X106"/>
    <mergeCell ref="AE106:AN10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94"/>
  <sheetViews>
    <sheetView showGridLines="0" workbookViewId="0">
      <selection activeCell="AN21" sqref="AN21"/>
    </sheetView>
  </sheetViews>
  <sheetFormatPr defaultRowHeight="12.75"/>
  <cols>
    <col min="1" max="5" width="2.28515625" style="46" customWidth="1"/>
    <col min="6" max="6" width="2.7109375" style="46" customWidth="1"/>
    <col min="7" max="29" width="2.28515625" style="46" customWidth="1"/>
    <col min="30" max="34" width="2.28515625" style="60" customWidth="1"/>
    <col min="35" max="35" width="4.140625" style="60" customWidth="1"/>
    <col min="36" max="36" width="4.42578125" style="60" customWidth="1"/>
    <col min="37" max="37" width="2.28515625" style="60" hidden="1" customWidth="1"/>
    <col min="38" max="38" width="4.7109375" style="60" customWidth="1"/>
    <col min="39" max="39" width="2" style="60" customWidth="1"/>
    <col min="40" max="40" width="7.140625" style="60" customWidth="1"/>
    <col min="41" max="41" width="9.140625" style="60"/>
    <col min="42" max="42" width="13.28515625" style="60" customWidth="1"/>
    <col min="43" max="43" width="9.140625" style="60"/>
    <col min="44" max="44" width="11.7109375" style="60" customWidth="1"/>
    <col min="45" max="16384" width="9.140625" style="60"/>
  </cols>
  <sheetData>
    <row r="1" spans="1:40" ht="48.75" customHeight="1">
      <c r="W1" s="240" t="s">
        <v>208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</row>
    <row r="2" spans="1:40" ht="23.25" customHeight="1"/>
    <row r="3" spans="1:40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29.25" customHeight="1">
      <c r="A5" s="45"/>
      <c r="B5" s="45"/>
      <c r="C5" s="45"/>
      <c r="D5" s="45"/>
      <c r="E5" s="50"/>
      <c r="G5" s="45"/>
      <c r="H5" s="45"/>
      <c r="L5" s="5"/>
      <c r="AA5" s="50"/>
      <c r="AB5" s="50"/>
      <c r="AC5" s="50"/>
      <c r="AD5" s="50"/>
      <c r="AE5" s="50"/>
      <c r="AF5" s="50"/>
      <c r="AG5" s="50"/>
      <c r="AI5" s="256" t="s">
        <v>1</v>
      </c>
      <c r="AJ5" s="256"/>
      <c r="AK5" s="256"/>
      <c r="AL5" s="256"/>
      <c r="AM5" s="256"/>
      <c r="AN5" s="256"/>
    </row>
    <row r="6" spans="1:40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46"/>
      <c r="AI6" s="257" t="s">
        <v>243</v>
      </c>
      <c r="AJ6" s="258"/>
      <c r="AK6" s="259"/>
      <c r="AL6" s="63" t="s">
        <v>229</v>
      </c>
      <c r="AM6" s="284" t="s">
        <v>77</v>
      </c>
      <c r="AN6" s="284"/>
    </row>
    <row r="7" spans="1:40" ht="31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49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3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50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45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3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49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7.25" customHeight="1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246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49"/>
      <c r="AC11" s="47"/>
      <c r="AD11" s="47"/>
      <c r="AE11" s="47"/>
      <c r="AF11" s="47"/>
    </row>
    <row r="12" spans="1:40" ht="13.5" customHeight="1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49"/>
      <c r="AC12" s="12"/>
      <c r="AD12" s="12"/>
      <c r="AE12" s="46"/>
      <c r="AF12" s="46"/>
    </row>
    <row r="13" spans="1:40" ht="13.5" customHeight="1">
      <c r="A13" s="247" t="s">
        <v>130</v>
      </c>
      <c r="B13" s="247"/>
      <c r="C13" s="247"/>
      <c r="D13" s="247"/>
      <c r="E13" s="247"/>
      <c r="F13" s="247"/>
      <c r="AD13" s="46"/>
      <c r="AE13" s="46"/>
      <c r="AF13" s="46"/>
    </row>
    <row r="14" spans="1:40" ht="30" customHeight="1">
      <c r="C14" s="12"/>
      <c r="D14" s="12"/>
      <c r="E14" s="12"/>
      <c r="F14" s="12"/>
      <c r="L14" s="5"/>
    </row>
    <row r="15" spans="1:40" ht="15" customHeight="1">
      <c r="I15" s="260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 t="s">
        <v>215</v>
      </c>
      <c r="U15" s="260"/>
      <c r="V15" s="260"/>
      <c r="W15" s="260"/>
      <c r="X15" s="260"/>
      <c r="Y15" s="260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 ht="10.5" customHeight="1">
      <c r="I16" s="289" t="s">
        <v>245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46" ht="7.5" customHeight="1">
      <c r="G17" s="15"/>
      <c r="H17" s="15"/>
      <c r="L17" s="5"/>
    </row>
    <row r="18" spans="1:46" ht="27.7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65" t="s">
        <v>170</v>
      </c>
      <c r="W18" s="263"/>
      <c r="X18" s="263"/>
      <c r="Y18" s="264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 ht="15" customHeight="1">
      <c r="A19" s="269">
        <v>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 ht="19.5" customHeight="1">
      <c r="A20" s="355" t="s">
        <v>21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390"/>
      <c r="AI20" s="390"/>
      <c r="AJ20" s="390"/>
      <c r="AK20" s="390"/>
      <c r="AL20" s="390"/>
      <c r="AM20" s="390"/>
      <c r="AN20" s="390"/>
    </row>
    <row r="21" spans="1:46" ht="15" customHeight="1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367">
        <v>127.2</v>
      </c>
      <c r="AA21" s="368">
        <v>127.2</v>
      </c>
      <c r="AB21" s="368">
        <v>127.2</v>
      </c>
      <c r="AC21" s="368">
        <v>127.2</v>
      </c>
      <c r="AD21" s="368">
        <v>127.2</v>
      </c>
      <c r="AE21" s="368">
        <v>127.2</v>
      </c>
      <c r="AF21" s="368">
        <v>127.2</v>
      </c>
      <c r="AG21" s="369">
        <v>127.2</v>
      </c>
      <c r="AH21" s="24"/>
      <c r="AI21" s="34"/>
      <c r="AJ21" s="34"/>
      <c r="AK21" s="34"/>
      <c r="AL21" s="34"/>
      <c r="AM21" s="34"/>
      <c r="AN21" s="35" t="e">
        <f t="array" ref="AN21">ROUND(SUM(IF(LEFT('[1]март 2020'!$A$3:$A$125,2)="13",'[1]март 2020'!$AV$3:$AV$125))/1000,1)</f>
        <v>#REF!</v>
      </c>
      <c r="AP21" s="60" t="s">
        <v>231</v>
      </c>
    </row>
    <row r="22" spans="1:46" ht="15" customHeight="1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Z23-AB24</f>
        <v>4524.1000000000004</v>
      </c>
      <c r="AA22" s="278"/>
      <c r="AB22" s="278"/>
      <c r="AC22" s="278"/>
      <c r="AD22" s="278"/>
      <c r="AE22" s="278"/>
      <c r="AF22" s="278"/>
      <c r="AG22" s="278"/>
      <c r="AH22" s="387" t="e">
        <f>AN23-AI24</f>
        <v>#REF!</v>
      </c>
      <c r="AI22" s="379"/>
      <c r="AJ22" s="379"/>
      <c r="AK22" s="379"/>
      <c r="AL22" s="379"/>
      <c r="AM22" s="379"/>
      <c r="AN22" s="379"/>
    </row>
    <row r="23" spans="1:46" ht="15" customHeight="1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14034.5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24"/>
      <c r="AI23" s="52"/>
      <c r="AJ23" s="52"/>
      <c r="AK23" s="52"/>
      <c r="AL23" s="52"/>
      <c r="AM23" s="56"/>
      <c r="AN23" s="35" t="e">
        <f t="array" ref="AN23">ROUND(SUM(IF((LEFT('[1]март 2020'!$A$3:$A$125,2)="10")+(LEFT('[1]март 2020'!$A$3:$A$125,2)="11"),'[1]март 2020'!$AV$3:$AV$125))/1000,1)</f>
        <v>#REF!</v>
      </c>
      <c r="AP23" s="60" t="s">
        <v>232</v>
      </c>
      <c r="AQ23" s="60" t="s">
        <v>233</v>
      </c>
    </row>
    <row r="24" spans="1:46" ht="15" customHeight="1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46" t="s">
        <v>219</v>
      </c>
      <c r="AA24" s="52"/>
      <c r="AB24" s="389">
        <v>9510.4</v>
      </c>
      <c r="AC24" s="389"/>
      <c r="AD24" s="389"/>
      <c r="AE24" s="64"/>
      <c r="AF24" s="52" t="s">
        <v>218</v>
      </c>
      <c r="AG24" s="53"/>
      <c r="AH24" s="54" t="s">
        <v>219</v>
      </c>
      <c r="AI24" s="389" t="e">
        <f t="array" ref="AI24">-ROUND(SUM(IF((LEFT('[1]март 2020'!$A$3:$A$125,4)="1411")+(LEFT('[1]март 2020'!$A$3:$A$125,4)="1412"),'[1]март 2020'!$AW$3:$AW$125))/1000,1)</f>
        <v>#REF!</v>
      </c>
      <c r="AJ24" s="389"/>
      <c r="AK24" s="389"/>
      <c r="AL24" s="389"/>
      <c r="AM24" s="389"/>
      <c r="AN24" s="55" t="s">
        <v>218</v>
      </c>
      <c r="AP24" s="36">
        <v>1411</v>
      </c>
      <c r="AQ24" s="36">
        <v>1412</v>
      </c>
    </row>
    <row r="25" spans="1:46" ht="15" customHeight="1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278"/>
      <c r="AA25" s="278"/>
      <c r="AB25" s="278"/>
      <c r="AC25" s="278"/>
      <c r="AD25" s="278"/>
      <c r="AE25" s="278"/>
      <c r="AF25" s="278"/>
      <c r="AG25" s="278"/>
      <c r="AH25" s="358"/>
      <c r="AI25" s="279"/>
      <c r="AJ25" s="279"/>
      <c r="AK25" s="279"/>
      <c r="AL25" s="279"/>
      <c r="AM25" s="358"/>
      <c r="AN25" s="279"/>
    </row>
    <row r="26" spans="1:46" ht="15" customHeight="1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</row>
    <row r="27" spans="1:46" ht="15" customHeight="1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</row>
    <row r="28" spans="1:46" ht="19.5" customHeight="1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15" t="s">
        <v>142</v>
      </c>
      <c r="W28" s="316"/>
      <c r="X28" s="316"/>
      <c r="Y28" s="317"/>
      <c r="Z28" s="318">
        <f>Z22+Z25+Z26+Z27+Z21</f>
        <v>4651.3</v>
      </c>
      <c r="AA28" s="319"/>
      <c r="AB28" s="319"/>
      <c r="AC28" s="319"/>
      <c r="AD28" s="319"/>
      <c r="AE28" s="319"/>
      <c r="AF28" s="319"/>
      <c r="AG28" s="319"/>
      <c r="AH28" s="318" t="e">
        <f>AH22+AH25+AH26+AH27+AN21</f>
        <v>#REF!</v>
      </c>
      <c r="AI28" s="319"/>
      <c r="AJ28" s="319"/>
      <c r="AK28" s="319"/>
      <c r="AL28" s="319"/>
      <c r="AM28" s="319"/>
      <c r="AN28" s="319"/>
    </row>
    <row r="29" spans="1:46" ht="19.5" customHeight="1">
      <c r="A29" s="355" t="s">
        <v>31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7"/>
      <c r="V29" s="273"/>
      <c r="W29" s="273"/>
      <c r="X29" s="273"/>
      <c r="Y29" s="273"/>
      <c r="Z29" s="278"/>
      <c r="AA29" s="278"/>
      <c r="AB29" s="278"/>
      <c r="AC29" s="278"/>
      <c r="AD29" s="278"/>
      <c r="AE29" s="278"/>
      <c r="AF29" s="278"/>
      <c r="AG29" s="278"/>
      <c r="AH29" s="370"/>
      <c r="AI29" s="370"/>
      <c r="AJ29" s="370"/>
      <c r="AK29" s="370"/>
      <c r="AL29" s="370"/>
      <c r="AM29" s="370"/>
      <c r="AN29" s="370"/>
    </row>
    <row r="30" spans="1:46" ht="15" customHeight="1">
      <c r="A30" s="304" t="s">
        <v>132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65" t="s">
        <v>143</v>
      </c>
      <c r="W30" s="266"/>
      <c r="X30" s="266"/>
      <c r="Y30" s="267"/>
      <c r="Z30" s="367">
        <v>16804</v>
      </c>
      <c r="AA30" s="368"/>
      <c r="AB30" s="368"/>
      <c r="AC30" s="368"/>
      <c r="AD30" s="368"/>
      <c r="AE30" s="368"/>
      <c r="AF30" s="368"/>
      <c r="AG30" s="369"/>
      <c r="AH30" s="51"/>
      <c r="AI30" s="52"/>
      <c r="AJ30" s="52"/>
      <c r="AK30" s="52"/>
      <c r="AL30" s="52"/>
      <c r="AM30" s="52"/>
      <c r="AN30" s="35" t="e">
        <f t="array" ref="AN30">ROUND(SUM(IF((LEFT('[1]март 2020'!$A$3:$A$125,2)="15")+(LEFT('[1]март 2020'!$A$3:$A$125,2)="18"),'[1]март 2020'!$AV$3:$AV$125))/1000,1)-0.3</f>
        <v>#REF!</v>
      </c>
      <c r="AP30" s="36">
        <v>15</v>
      </c>
      <c r="AQ30" s="36">
        <v>1811</v>
      </c>
      <c r="AR30" s="36">
        <v>1812</v>
      </c>
      <c r="AS30" s="36">
        <v>1814</v>
      </c>
      <c r="AT30" s="36">
        <v>1815</v>
      </c>
    </row>
    <row r="31" spans="1:46" ht="15" customHeight="1">
      <c r="A31" s="325" t="s">
        <v>210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7"/>
      <c r="V31" s="265" t="s">
        <v>144</v>
      </c>
      <c r="W31" s="266"/>
      <c r="X31" s="266"/>
      <c r="Y31" s="267"/>
      <c r="Z31" s="383"/>
      <c r="AA31" s="384"/>
      <c r="AB31" s="384"/>
      <c r="AC31" s="384"/>
      <c r="AD31" s="384"/>
      <c r="AE31" s="384"/>
      <c r="AF31" s="384"/>
      <c r="AG31" s="385"/>
      <c r="AH31" s="331"/>
      <c r="AI31" s="332"/>
      <c r="AJ31" s="332"/>
      <c r="AK31" s="332"/>
      <c r="AL31" s="332"/>
      <c r="AM31" s="332"/>
      <c r="AN31" s="333"/>
    </row>
    <row r="32" spans="1:46" ht="15" customHeight="1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386"/>
      <c r="AA32" s="386"/>
      <c r="AB32" s="386"/>
      <c r="AC32" s="386"/>
      <c r="AD32" s="386"/>
      <c r="AE32" s="386"/>
      <c r="AF32" s="386"/>
      <c r="AG32" s="386"/>
      <c r="AH32" s="370"/>
      <c r="AI32" s="370"/>
      <c r="AJ32" s="370"/>
      <c r="AK32" s="370"/>
      <c r="AL32" s="370"/>
      <c r="AM32" s="370"/>
      <c r="AN32" s="370"/>
    </row>
    <row r="33" spans="1:46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42"/>
      <c r="AA33" s="43"/>
      <c r="AB33" s="43"/>
      <c r="AC33" s="43"/>
      <c r="AD33" s="43"/>
      <c r="AE33" s="43"/>
      <c r="AF33" s="43"/>
      <c r="AG33" s="44"/>
      <c r="AH33" s="57"/>
      <c r="AI33" s="58"/>
      <c r="AJ33" s="58"/>
      <c r="AK33" s="58"/>
      <c r="AL33" s="58"/>
      <c r="AM33" s="58"/>
      <c r="AN33" s="38" t="e">
        <f t="array" ref="AN33">ROUND(SUM(IF(LEFT('[1]март 2020'!$A$3:$A$125,4)="2111",'[1]март 2020'!$AV$3:$AV$125))/1000,1)</f>
        <v>#REF!</v>
      </c>
      <c r="AP33" s="60" t="s">
        <v>237</v>
      </c>
    </row>
    <row r="34" spans="1:46" ht="15" customHeight="1">
      <c r="A34" s="304" t="s">
        <v>36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265" t="s">
        <v>147</v>
      </c>
      <c r="W34" s="266"/>
      <c r="X34" s="266"/>
      <c r="Y34" s="267"/>
      <c r="Z34" s="367">
        <v>12.3</v>
      </c>
      <c r="AA34" s="368"/>
      <c r="AB34" s="368"/>
      <c r="AC34" s="368"/>
      <c r="AD34" s="368"/>
      <c r="AE34" s="368"/>
      <c r="AF34" s="368"/>
      <c r="AG34" s="369"/>
      <c r="AH34" s="51"/>
      <c r="AI34" s="52"/>
      <c r="AJ34" s="52"/>
      <c r="AK34" s="52"/>
      <c r="AL34" s="52"/>
      <c r="AM34" s="52"/>
      <c r="AN34" s="35" t="e">
        <f t="array" ref="AN34">ROUND(SUM(IF((LEFT('[1]март 2020'!$A$3:$A$125,4)="2110")+(LEFT('[1]март 2020'!$A$3:$A$125,4)="2114")+(LEFT('[1]март 2020'!$A$3:$A$125,4)="2116"),'[1]март 2020'!$AV$3:$AV$125))/1000,1)</f>
        <v>#REF!</v>
      </c>
      <c r="AP34" s="60" t="s">
        <v>235</v>
      </c>
      <c r="AQ34" s="60" t="s">
        <v>236</v>
      </c>
      <c r="AS34" s="60" t="s">
        <v>239</v>
      </c>
    </row>
    <row r="35" spans="1:46" ht="15" customHeight="1">
      <c r="A35" s="325" t="s">
        <v>164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  <c r="V35" s="265" t="s">
        <v>148</v>
      </c>
      <c r="W35" s="266"/>
      <c r="X35" s="266"/>
      <c r="Y35" s="267"/>
      <c r="Z35" s="380"/>
      <c r="AA35" s="381"/>
      <c r="AB35" s="381"/>
      <c r="AC35" s="381"/>
      <c r="AD35" s="381"/>
      <c r="AE35" s="381"/>
      <c r="AF35" s="381"/>
      <c r="AG35" s="382"/>
      <c r="AH35" s="375"/>
      <c r="AI35" s="376"/>
      <c r="AJ35" s="376"/>
      <c r="AK35" s="376"/>
      <c r="AL35" s="376"/>
      <c r="AM35" s="376"/>
      <c r="AN35" s="377"/>
    </row>
    <row r="36" spans="1:46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367">
        <v>1259.7</v>
      </c>
      <c r="AA36" s="368"/>
      <c r="AB36" s="368"/>
      <c r="AC36" s="368"/>
      <c r="AD36" s="368"/>
      <c r="AE36" s="368"/>
      <c r="AF36" s="368"/>
      <c r="AG36" s="369"/>
      <c r="AH36" s="51"/>
      <c r="AI36" s="52"/>
      <c r="AJ36" s="52"/>
      <c r="AK36" s="52"/>
      <c r="AL36" s="52"/>
      <c r="AM36" s="52"/>
      <c r="AN36" s="35" t="e">
        <f t="array" ref="AN36">ROUND(SUM(IF((LEFT('[1]март 2020'!$A$3:$A$125,4)="2711")+(LEFT('[1]март 2020'!$A$3:$A$125,6)="2113/с")+(LEFT('[1]март 2020'!$A$3:$A$125,4)="2213"),'[1]март 2020'!$AV$3:$AV$125))/1000,1)</f>
        <v>#REF!</v>
      </c>
      <c r="AP36" s="60" t="s">
        <v>234</v>
      </c>
      <c r="AQ36" s="60" t="s">
        <v>241</v>
      </c>
      <c r="AR36" s="60" t="s">
        <v>242</v>
      </c>
    </row>
    <row r="37" spans="1:46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378"/>
      <c r="AA37" s="378"/>
      <c r="AB37" s="378"/>
      <c r="AC37" s="378"/>
      <c r="AD37" s="378"/>
      <c r="AE37" s="378"/>
      <c r="AF37" s="378"/>
      <c r="AG37" s="378"/>
      <c r="AH37" s="379"/>
      <c r="AI37" s="379"/>
      <c r="AJ37" s="379"/>
      <c r="AK37" s="379"/>
      <c r="AL37" s="379"/>
      <c r="AM37" s="379"/>
      <c r="AN37" s="379"/>
    </row>
    <row r="38" spans="1:46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367">
        <v>10.7</v>
      </c>
      <c r="AA38" s="368"/>
      <c r="AB38" s="368"/>
      <c r="AC38" s="368"/>
      <c r="AD38" s="368"/>
      <c r="AE38" s="368"/>
      <c r="AF38" s="368"/>
      <c r="AG38" s="369"/>
      <c r="AH38" s="51"/>
      <c r="AI38" s="52"/>
      <c r="AJ38" s="52"/>
      <c r="AK38" s="52"/>
      <c r="AL38" s="52"/>
      <c r="AM38" s="52"/>
      <c r="AN38" s="35" t="e">
        <f t="array" ref="AN38">ROUND(SUM(IF((LEFT('[1]март 2020'!$A$3:$A$125,4)="2211")+(LEFT('[1]март 2020'!$A$3:$A$125,4)="8311")+(LEFT('[1]март 2020'!$A$3:$A$125,2)="23")+((LEFT('[1]март 2020'!$A$3:$A$125,4)="2113")*(LEFT('[1]март 2020'!$A$3:$A$125,6)&lt;&gt;"2113/с")),'[1]март 2020'!$AV$3:$AV$125))/1000,1)</f>
        <v>#REF!</v>
      </c>
      <c r="AP38" s="36">
        <v>2211</v>
      </c>
      <c r="AQ38" s="36"/>
      <c r="AR38" s="36">
        <v>8311</v>
      </c>
      <c r="AS38" s="60" t="s">
        <v>240</v>
      </c>
      <c r="AT38" s="60" t="s">
        <v>238</v>
      </c>
    </row>
    <row r="39" spans="1:46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</row>
    <row r="40" spans="1:46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</row>
    <row r="41" spans="1:46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364">
        <v>18086.7</v>
      </c>
      <c r="AA41" s="365"/>
      <c r="AB41" s="365"/>
      <c r="AC41" s="365"/>
      <c r="AD41" s="365"/>
      <c r="AE41" s="365"/>
      <c r="AF41" s="365"/>
      <c r="AG41" s="366"/>
      <c r="AH41" s="318" t="e">
        <f>SUM(AN30,AH32:AN34,AH36:AN40)</f>
        <v>#REF!</v>
      </c>
      <c r="AI41" s="318"/>
      <c r="AJ41" s="318"/>
      <c r="AK41" s="318"/>
      <c r="AL41" s="318"/>
      <c r="AM41" s="318"/>
      <c r="AN41" s="318"/>
    </row>
    <row r="42" spans="1:46" ht="28.5" customHeight="1">
      <c r="A42" s="283" t="s">
        <v>207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</row>
    <row r="43" spans="1:46" ht="22.5" customHeight="1">
      <c r="A43" s="372" t="s">
        <v>44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4"/>
      <c r="V43" s="371" t="s">
        <v>156</v>
      </c>
      <c r="W43" s="371"/>
      <c r="X43" s="371"/>
      <c r="Y43" s="371"/>
      <c r="Z43" s="318">
        <f>Z28+Z41+Z42</f>
        <v>22738</v>
      </c>
      <c r="AA43" s="319"/>
      <c r="AB43" s="319"/>
      <c r="AC43" s="319"/>
      <c r="AD43" s="319"/>
      <c r="AE43" s="319"/>
      <c r="AF43" s="319"/>
      <c r="AG43" s="319"/>
      <c r="AH43" s="318" t="e">
        <f>AH28+AH41+AH42</f>
        <v>#REF!</v>
      </c>
      <c r="AI43" s="319"/>
      <c r="AJ43" s="319"/>
      <c r="AK43" s="319"/>
      <c r="AL43" s="319"/>
      <c r="AM43" s="319"/>
      <c r="AN43" s="319"/>
      <c r="AP43" s="40" t="e">
        <f>AH43+AR68</f>
        <v>#REF!</v>
      </c>
    </row>
    <row r="44" spans="1:46" ht="4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61"/>
      <c r="AI44" s="61"/>
      <c r="AJ44" s="61"/>
      <c r="AK44" s="61"/>
      <c r="AL44" s="61"/>
      <c r="AM44" s="61"/>
      <c r="AN44" s="61"/>
    </row>
    <row r="45" spans="1:46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6" ht="12.75" customHeight="1">
      <c r="A46" s="269">
        <v>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81">
        <v>2</v>
      </c>
      <c r="W46" s="281"/>
      <c r="X46" s="281"/>
      <c r="Y46" s="281"/>
      <c r="Z46" s="253">
        <v>3</v>
      </c>
      <c r="AA46" s="254"/>
      <c r="AB46" s="254"/>
      <c r="AC46" s="254"/>
      <c r="AD46" s="254"/>
      <c r="AE46" s="254"/>
      <c r="AF46" s="254"/>
      <c r="AG46" s="255"/>
      <c r="AH46" s="253">
        <v>4</v>
      </c>
      <c r="AI46" s="254"/>
      <c r="AJ46" s="254"/>
      <c r="AK46" s="254"/>
      <c r="AL46" s="254"/>
      <c r="AM46" s="254"/>
      <c r="AN46" s="255"/>
    </row>
    <row r="47" spans="1:46" ht="19.5" customHeight="1">
      <c r="A47" s="355" t="s">
        <v>46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7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370"/>
      <c r="AI47" s="370"/>
      <c r="AJ47" s="370"/>
      <c r="AK47" s="370"/>
      <c r="AL47" s="370"/>
      <c r="AM47" s="370"/>
      <c r="AN47" s="370"/>
    </row>
    <row r="48" spans="1:46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367">
        <v>5934.6</v>
      </c>
      <c r="AA48" s="368"/>
      <c r="AB48" s="368"/>
      <c r="AC48" s="368"/>
      <c r="AD48" s="368"/>
      <c r="AE48" s="368"/>
      <c r="AF48" s="368"/>
      <c r="AG48" s="369"/>
      <c r="AH48" s="51"/>
      <c r="AI48" s="52"/>
      <c r="AJ48" s="52"/>
      <c r="AK48" s="52"/>
      <c r="AL48" s="52"/>
      <c r="AM48" s="52"/>
      <c r="AN48" s="35" t="e">
        <f t="array" ref="AN48">-ROUND(SUM(IF(LEFT('[1]март 2020'!$A$3:$A$125,4)="5111",'[1]март 2020'!$AW$3:$AW$125))/1000,1)</f>
        <v>#REF!</v>
      </c>
      <c r="AP48" s="36">
        <v>5111</v>
      </c>
    </row>
    <row r="49" spans="1:43" ht="13.5" customHeight="1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358"/>
      <c r="AI49" s="358"/>
      <c r="AJ49" s="358"/>
      <c r="AK49" s="358"/>
      <c r="AL49" s="358"/>
      <c r="AM49" s="358"/>
      <c r="AN49" s="358"/>
    </row>
    <row r="50" spans="1:43" ht="13.5" customHeight="1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370"/>
      <c r="AI50" s="370"/>
      <c r="AJ50" s="370"/>
      <c r="AK50" s="370"/>
      <c r="AL50" s="370"/>
      <c r="AM50" s="370"/>
      <c r="AN50" s="370"/>
    </row>
    <row r="51" spans="1:43" ht="13.5" customHeight="1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367">
        <v>1865.4</v>
      </c>
      <c r="AA51" s="368"/>
      <c r="AB51" s="368"/>
      <c r="AC51" s="368"/>
      <c r="AD51" s="368"/>
      <c r="AE51" s="368"/>
      <c r="AF51" s="368"/>
      <c r="AG51" s="369"/>
      <c r="AH51" s="51"/>
      <c r="AI51" s="52"/>
      <c r="AJ51" s="52"/>
      <c r="AK51" s="52"/>
      <c r="AL51" s="52"/>
      <c r="AM51" s="52"/>
      <c r="AN51" s="35" t="e">
        <f t="array" ref="AN51">-ROUND(SUM(IF((LEFT('[1]март 2020'!$A$3:$A$125,4)="5512"),'[1]март 2020'!$AW$3:$AW$125))/1000,1)-ROUND(SUM(IF((LEFT('[1]март 2020'!$A$3:$A$125,4)="5511"),'[1]март 2020'!$AW$3:$AW$125))/1000,1)-0.1</f>
        <v>#REF!</v>
      </c>
      <c r="AP51" s="36">
        <v>-5511</v>
      </c>
      <c r="AQ51" s="36">
        <v>5512</v>
      </c>
    </row>
    <row r="52" spans="1:43" ht="13.5" customHeight="1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253" t="s">
        <v>117</v>
      </c>
      <c r="AA52" s="254"/>
      <c r="AB52" s="254"/>
      <c r="AC52" s="254"/>
      <c r="AD52" s="254"/>
      <c r="AE52" s="254"/>
      <c r="AF52" s="254"/>
      <c r="AG52" s="255"/>
      <c r="AH52" s="359" t="s">
        <v>118</v>
      </c>
      <c r="AI52" s="360"/>
      <c r="AJ52" s="360"/>
      <c r="AK52" s="360"/>
      <c r="AL52" s="360"/>
      <c r="AM52" s="360"/>
      <c r="AN52" s="361"/>
    </row>
    <row r="53" spans="1:43" ht="19.5" customHeight="1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62">
        <f>SUM(Z48:AG52)</f>
        <v>7800</v>
      </c>
      <c r="AA53" s="363"/>
      <c r="AB53" s="363"/>
      <c r="AC53" s="363"/>
      <c r="AD53" s="363"/>
      <c r="AE53" s="363"/>
      <c r="AF53" s="363"/>
      <c r="AG53" s="363"/>
      <c r="AH53" s="363" t="e">
        <f>SUM(AH48:AN52)</f>
        <v>#REF!</v>
      </c>
      <c r="AI53" s="363"/>
      <c r="AJ53" s="363"/>
      <c r="AK53" s="363"/>
      <c r="AL53" s="363"/>
      <c r="AM53" s="363"/>
      <c r="AN53" s="363"/>
    </row>
    <row r="54" spans="1:43" ht="27" customHeight="1">
      <c r="A54" s="315" t="s">
        <v>158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  <c r="V54" s="283" t="s">
        <v>177</v>
      </c>
      <c r="W54" s="283"/>
      <c r="X54" s="283"/>
      <c r="Y54" s="283"/>
      <c r="Z54" s="364">
        <v>127.2</v>
      </c>
      <c r="AA54" s="365"/>
      <c r="AB54" s="365"/>
      <c r="AC54" s="365"/>
      <c r="AD54" s="365"/>
      <c r="AE54" s="365"/>
      <c r="AF54" s="365"/>
      <c r="AG54" s="366"/>
      <c r="AH54" s="62"/>
      <c r="AI54" s="37"/>
      <c r="AJ54" s="37"/>
      <c r="AK54" s="37"/>
      <c r="AL54" s="37"/>
      <c r="AM54" s="37"/>
      <c r="AN54" s="39" t="e">
        <f t="array" ref="AN54">-ROUND(SUM(IF(LEFT('[1]март 2020'!$A$3:$A$125,4)="5411",'[1]март 2020'!$AW$3:$AW$125))/1000,1)</f>
        <v>#REF!</v>
      </c>
      <c r="AP54" s="36">
        <v>5411</v>
      </c>
    </row>
    <row r="55" spans="1:43" ht="18" customHeight="1">
      <c r="A55" s="355" t="s">
        <v>159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7"/>
      <c r="V55" s="283"/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358"/>
      <c r="AI55" s="358"/>
      <c r="AJ55" s="358"/>
      <c r="AK55" s="358"/>
      <c r="AL55" s="358"/>
      <c r="AM55" s="358"/>
      <c r="AN55" s="358"/>
    </row>
    <row r="56" spans="1:43" ht="13.5" customHeight="1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69" t="s">
        <v>178</v>
      </c>
      <c r="W56" s="270"/>
      <c r="X56" s="270"/>
      <c r="Y56" s="27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</row>
    <row r="57" spans="1:43" ht="13.5" customHeight="1">
      <c r="A57" s="338" t="s">
        <v>160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1"/>
      <c r="W57" s="342"/>
      <c r="X57" s="342"/>
      <c r="Y57" s="343"/>
      <c r="Z57" s="344"/>
      <c r="AA57" s="345"/>
      <c r="AB57" s="345"/>
      <c r="AC57" s="345"/>
      <c r="AD57" s="345"/>
      <c r="AE57" s="345"/>
      <c r="AF57" s="345"/>
      <c r="AG57" s="346"/>
      <c r="AH57" s="335"/>
      <c r="AI57" s="336"/>
      <c r="AJ57" s="336"/>
      <c r="AK57" s="336"/>
      <c r="AL57" s="336"/>
      <c r="AM57" s="336"/>
      <c r="AN57" s="337"/>
    </row>
    <row r="58" spans="1:43" ht="13.5" customHeight="1">
      <c r="A58" s="347" t="s">
        <v>161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350" t="s">
        <v>179</v>
      </c>
      <c r="W58" s="291"/>
      <c r="X58" s="291"/>
      <c r="Y58" s="351"/>
      <c r="Z58" s="352"/>
      <c r="AA58" s="353"/>
      <c r="AB58" s="353"/>
      <c r="AC58" s="353"/>
      <c r="AD58" s="353"/>
      <c r="AE58" s="353"/>
      <c r="AF58" s="353"/>
      <c r="AG58" s="354"/>
      <c r="AH58" s="331"/>
      <c r="AI58" s="332"/>
      <c r="AJ58" s="332"/>
      <c r="AK58" s="332"/>
      <c r="AL58" s="332"/>
      <c r="AM58" s="332"/>
      <c r="AN58" s="333"/>
    </row>
    <row r="59" spans="1:43" ht="13.5" customHeight="1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69" t="s">
        <v>180</v>
      </c>
      <c r="W59" s="270"/>
      <c r="X59" s="270"/>
      <c r="Y59" s="271"/>
      <c r="Z59" s="278"/>
      <c r="AA59" s="278"/>
      <c r="AB59" s="278"/>
      <c r="AC59" s="278"/>
      <c r="AD59" s="278"/>
      <c r="AE59" s="278"/>
      <c r="AF59" s="278"/>
      <c r="AG59" s="278"/>
      <c r="AH59" s="51"/>
      <c r="AI59" s="52"/>
      <c r="AJ59" s="52"/>
      <c r="AK59" s="52"/>
      <c r="AL59" s="52"/>
      <c r="AM59" s="52"/>
      <c r="AN59" s="35" t="e">
        <f t="array" ref="AN59">-ROUND(SUM(IF(LEFT('[1]март 2020'!$A$3:$A$125,4)="2113",'[1]март 2020'!$AW$3:$AW$125))/1000,1)</f>
        <v>#REF!</v>
      </c>
      <c r="AP59" s="60" t="s">
        <v>238</v>
      </c>
    </row>
    <row r="60" spans="1:43" ht="13.5" customHeight="1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69" t="s">
        <v>181</v>
      </c>
      <c r="W60" s="270"/>
      <c r="X60" s="270"/>
      <c r="Y60" s="271"/>
      <c r="Z60" s="278">
        <v>2.4</v>
      </c>
      <c r="AA60" s="278"/>
      <c r="AB60" s="278"/>
      <c r="AC60" s="278"/>
      <c r="AD60" s="278"/>
      <c r="AE60" s="278"/>
      <c r="AF60" s="278"/>
      <c r="AG60" s="323"/>
      <c r="AH60" s="51"/>
      <c r="AI60" s="52"/>
      <c r="AJ60" s="52"/>
      <c r="AK60" s="52"/>
      <c r="AL60" s="52"/>
      <c r="AM60" s="52"/>
      <c r="AN60" s="35" t="e">
        <f t="array" ref="AN60">-ROUND(SUM(IF((LEFT('[1]март 2020'!$A$3:$A$125,4)="6311")+(LEFT('[1]март 2020'!$A$3:$A$125,4)="6312"),'[1]март 2020'!$AW$3:$AW$125))/1000,1)</f>
        <v>#REF!</v>
      </c>
      <c r="AP60" s="36">
        <v>6311</v>
      </c>
      <c r="AQ60" s="36">
        <v>6312</v>
      </c>
    </row>
    <row r="61" spans="1:43" ht="13.5" customHeight="1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69" t="s">
        <v>182</v>
      </c>
      <c r="W61" s="270"/>
      <c r="X61" s="270"/>
      <c r="Y61" s="271"/>
      <c r="Z61" s="278"/>
      <c r="AA61" s="278"/>
      <c r="AB61" s="278"/>
      <c r="AC61" s="278"/>
      <c r="AD61" s="278"/>
      <c r="AE61" s="278"/>
      <c r="AF61" s="278"/>
      <c r="AG61" s="278"/>
      <c r="AH61" s="331"/>
      <c r="AI61" s="332"/>
      <c r="AJ61" s="332"/>
      <c r="AK61" s="332"/>
      <c r="AL61" s="332"/>
      <c r="AM61" s="332"/>
      <c r="AN61" s="333"/>
    </row>
    <row r="62" spans="1:43" ht="13.5" customHeight="1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69" t="s">
        <v>183</v>
      </c>
      <c r="W62" s="270"/>
      <c r="X62" s="270"/>
      <c r="Y62" s="271"/>
      <c r="Z62" s="278"/>
      <c r="AA62" s="278"/>
      <c r="AB62" s="278"/>
      <c r="AC62" s="278"/>
      <c r="AD62" s="278"/>
      <c r="AE62" s="278"/>
      <c r="AF62" s="278"/>
      <c r="AG62" s="278"/>
      <c r="AH62" s="335"/>
      <c r="AI62" s="336"/>
      <c r="AJ62" s="336"/>
      <c r="AK62" s="336"/>
      <c r="AL62" s="336"/>
      <c r="AM62" s="336"/>
      <c r="AN62" s="337"/>
    </row>
    <row r="63" spans="1:43" ht="13.5" customHeight="1">
      <c r="A63" s="325" t="s">
        <v>166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7"/>
      <c r="V63" s="269" t="s">
        <v>184</v>
      </c>
      <c r="W63" s="270"/>
      <c r="X63" s="270"/>
      <c r="Y63" s="271"/>
      <c r="Z63" s="323">
        <v>9.9</v>
      </c>
      <c r="AA63" s="328"/>
      <c r="AB63" s="328"/>
      <c r="AC63" s="328"/>
      <c r="AD63" s="328"/>
      <c r="AE63" s="328"/>
      <c r="AF63" s="328"/>
      <c r="AG63" s="328"/>
      <c r="AH63" s="51"/>
      <c r="AI63" s="52"/>
      <c r="AJ63" s="52"/>
      <c r="AK63" s="52"/>
      <c r="AL63" s="52"/>
      <c r="AM63" s="52"/>
      <c r="AN63" s="35" t="e">
        <f t="array" ref="AN63">-ROUND(SUM(IF(LEFT('[1]март 2020'!$A$3:$A$125,3)="651",'[1]март 2020'!$AW$3:$AW$125))/1000,1)</f>
        <v>#REF!</v>
      </c>
      <c r="AP63" s="36">
        <v>651</v>
      </c>
    </row>
    <row r="64" spans="1:43" ht="13.5" customHeight="1">
      <c r="A64" s="304" t="s">
        <v>167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269" t="s">
        <v>185</v>
      </c>
      <c r="W64" s="270"/>
      <c r="X64" s="270"/>
      <c r="Y64" s="271"/>
      <c r="Z64" s="323"/>
      <c r="AA64" s="328"/>
      <c r="AB64" s="328"/>
      <c r="AC64" s="328"/>
      <c r="AD64" s="328"/>
      <c r="AE64" s="328"/>
      <c r="AF64" s="328"/>
      <c r="AG64" s="329"/>
      <c r="AH64" s="320"/>
      <c r="AI64" s="321"/>
      <c r="AJ64" s="321"/>
      <c r="AK64" s="321"/>
      <c r="AL64" s="321"/>
      <c r="AM64" s="321"/>
      <c r="AN64" s="322"/>
    </row>
    <row r="65" spans="1:45" ht="13.5" customHeight="1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69" t="s">
        <v>186</v>
      </c>
      <c r="W65" s="270"/>
      <c r="X65" s="270"/>
      <c r="Y65" s="271"/>
      <c r="Z65" s="278">
        <v>14798.5</v>
      </c>
      <c r="AA65" s="278"/>
      <c r="AB65" s="278"/>
      <c r="AC65" s="278"/>
      <c r="AD65" s="278"/>
      <c r="AE65" s="278"/>
      <c r="AF65" s="278"/>
      <c r="AG65" s="323"/>
      <c r="AH65" s="51"/>
      <c r="AI65" s="52"/>
      <c r="AJ65" s="52"/>
      <c r="AK65" s="52"/>
      <c r="AL65" s="52"/>
      <c r="AM65" s="52"/>
      <c r="AN65" s="35" t="e">
        <f t="array" ref="AN65">-ROUND(SUM(IF((LEFT('[1]март 2020'!$A$3:$A$125,4)="6611"),'[1]март 2020'!$AW$3:$AW$125))/1000,1)</f>
        <v>#REF!</v>
      </c>
      <c r="AP65" s="36">
        <v>6611</v>
      </c>
    </row>
    <row r="66" spans="1:45" ht="17.25" customHeight="1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69" t="s">
        <v>187</v>
      </c>
      <c r="W66" s="270"/>
      <c r="X66" s="270"/>
      <c r="Y66" s="271"/>
      <c r="Z66" s="324">
        <f>SUM(Z56:AG60,Z62:AG65)</f>
        <v>14810.8</v>
      </c>
      <c r="AA66" s="324"/>
      <c r="AB66" s="324"/>
      <c r="AC66" s="324"/>
      <c r="AD66" s="324"/>
      <c r="AE66" s="324"/>
      <c r="AF66" s="324"/>
      <c r="AG66" s="324"/>
      <c r="AH66" s="324" t="e">
        <f>SUM(AH56:AN60,AH62:AN65)</f>
        <v>#REF!</v>
      </c>
      <c r="AI66" s="324"/>
      <c r="AJ66" s="324"/>
      <c r="AK66" s="324"/>
      <c r="AL66" s="324"/>
      <c r="AM66" s="324"/>
      <c r="AN66" s="324"/>
    </row>
    <row r="67" spans="1:45" ht="26.25" customHeight="1">
      <c r="A67" s="315" t="s">
        <v>169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83" t="s">
        <v>188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279"/>
      <c r="AI67" s="279"/>
      <c r="AJ67" s="279"/>
      <c r="AK67" s="279"/>
      <c r="AL67" s="279"/>
      <c r="AM67" s="279"/>
      <c r="AN67" s="279"/>
    </row>
    <row r="68" spans="1:45" ht="17.25" customHeight="1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22738</v>
      </c>
      <c r="AA68" s="319"/>
      <c r="AB68" s="319"/>
      <c r="AC68" s="319"/>
      <c r="AD68" s="319"/>
      <c r="AE68" s="319"/>
      <c r="AF68" s="319"/>
      <c r="AG68" s="319"/>
      <c r="AH68" s="318" t="e">
        <f>SUM(AH66:AN67,AH53,AH54:AN54)</f>
        <v>#REF!</v>
      </c>
      <c r="AI68" s="319"/>
      <c r="AJ68" s="319"/>
      <c r="AK68" s="319"/>
      <c r="AL68" s="319"/>
      <c r="AM68" s="319"/>
      <c r="AN68" s="319"/>
      <c r="AP68" s="40" t="e">
        <f>AH68-AH43</f>
        <v>#REF!</v>
      </c>
      <c r="AR68" s="41" t="e">
        <f>'[1]март 2020'!$AW$129/1000</f>
        <v>#REF!</v>
      </c>
      <c r="AS68" s="40" t="e">
        <f>AH68+AR68</f>
        <v>#REF!</v>
      </c>
    </row>
    <row r="69" spans="1:45" ht="12" customHeight="1">
      <c r="A69" s="48"/>
      <c r="B69" s="48"/>
      <c r="C69" s="48"/>
      <c r="D69" s="48"/>
      <c r="F69" s="48"/>
      <c r="G69" s="48"/>
      <c r="H69" s="48"/>
      <c r="I69" s="48"/>
      <c r="J69" s="48"/>
      <c r="K69" s="48"/>
      <c r="L69" s="5"/>
      <c r="V69" s="48"/>
    </row>
    <row r="70" spans="1:45" ht="14.25" customHeight="1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5" ht="12.75" customHeight="1">
      <c r="A71" s="313" t="s">
        <v>244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5" ht="14.25" customHeight="1">
      <c r="A72" s="27"/>
      <c r="B72" s="27"/>
      <c r="C72" s="27"/>
      <c r="D72" s="27"/>
      <c r="E72" s="28"/>
      <c r="F72" s="27"/>
      <c r="G72" s="29"/>
      <c r="H72" s="59"/>
      <c r="I72" s="59"/>
      <c r="J72" s="59"/>
      <c r="K72" s="59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5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5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</row>
    <row r="75" spans="1:45" ht="41.25" customHeight="1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5" ht="14.25" customHeight="1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5" ht="27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9" t="s">
        <v>194</v>
      </c>
      <c r="W77" s="249"/>
      <c r="X77" s="249"/>
      <c r="Y77" s="249"/>
      <c r="Z77" s="272">
        <f>ROUND('[2]2дс'!$G$19/1000,1)</f>
        <v>11541.8</v>
      </c>
      <c r="AA77" s="272"/>
      <c r="AB77" s="272"/>
      <c r="AC77" s="272"/>
      <c r="AD77" s="272"/>
      <c r="AE77" s="272"/>
      <c r="AF77" s="272"/>
      <c r="AG77" s="272"/>
      <c r="AH77" s="311">
        <v>9028.9</v>
      </c>
      <c r="AI77" s="307"/>
      <c r="AJ77" s="307"/>
      <c r="AK77" s="307"/>
      <c r="AL77" s="307"/>
      <c r="AM77" s="307"/>
      <c r="AN77" s="308"/>
      <c r="AO77" s="65"/>
    </row>
    <row r="78" spans="1:45" ht="14.25" customHeight="1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9" t="s">
        <v>195</v>
      </c>
      <c r="W78" s="249"/>
      <c r="X78" s="249"/>
      <c r="Y78" s="249"/>
      <c r="Z78" s="253"/>
      <c r="AA78" s="254"/>
      <c r="AB78" s="254"/>
      <c r="AC78" s="254"/>
      <c r="AD78" s="254"/>
      <c r="AE78" s="254"/>
      <c r="AF78" s="254"/>
      <c r="AG78" s="255"/>
      <c r="AH78" s="311"/>
      <c r="AI78" s="307"/>
      <c r="AJ78" s="307"/>
      <c r="AK78" s="307"/>
      <c r="AL78" s="307"/>
      <c r="AM78" s="307"/>
      <c r="AN78" s="308"/>
      <c r="AO78" s="65"/>
    </row>
    <row r="79" spans="1:45" ht="14.25" customHeight="1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9" t="s">
        <v>196</v>
      </c>
      <c r="W79" s="249"/>
      <c r="X79" s="249"/>
      <c r="Y79" s="249"/>
      <c r="Z79" s="253">
        <f>ROUND(('[2]2дс'!$G$20+'[2]2дс'!$G$21+'[2]2дс'!$G$22)/1000,1)</f>
        <v>2019.6</v>
      </c>
      <c r="AA79" s="254"/>
      <c r="AB79" s="254"/>
      <c r="AC79" s="254"/>
      <c r="AD79" s="254"/>
      <c r="AE79" s="254"/>
      <c r="AF79" s="254"/>
      <c r="AG79" s="255"/>
      <c r="AH79" s="311">
        <v>34.1</v>
      </c>
      <c r="AI79" s="307"/>
      <c r="AJ79" s="307"/>
      <c r="AK79" s="307"/>
      <c r="AL79" s="307"/>
      <c r="AM79" s="307"/>
      <c r="AN79" s="308"/>
      <c r="AO79" s="65"/>
    </row>
    <row r="80" spans="1:45" ht="16.5" customHeight="1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252" t="s">
        <v>197</v>
      </c>
      <c r="W80" s="252"/>
      <c r="X80" s="252"/>
      <c r="Y80" s="252"/>
      <c r="Z80" s="312">
        <f>SUM(Z77:AG79)</f>
        <v>13561.4</v>
      </c>
      <c r="AA80" s="312"/>
      <c r="AB80" s="312"/>
      <c r="AC80" s="312"/>
      <c r="AD80" s="312"/>
      <c r="AE80" s="312"/>
      <c r="AF80" s="312"/>
      <c r="AG80" s="312"/>
      <c r="AH80" s="299">
        <v>9063</v>
      </c>
      <c r="AI80" s="309"/>
      <c r="AJ80" s="309"/>
      <c r="AK80" s="309"/>
      <c r="AL80" s="309"/>
      <c r="AM80" s="309"/>
      <c r="AN80" s="310"/>
      <c r="AO80" s="66"/>
    </row>
    <row r="81" spans="1:41" ht="14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9" t="s">
        <v>198</v>
      </c>
      <c r="W81" s="249"/>
      <c r="X81" s="249"/>
      <c r="Y81" s="249"/>
      <c r="Z81" s="51" t="s">
        <v>117</v>
      </c>
      <c r="AA81" s="254">
        <f>ROUND('[2]2дс'!$G$36/1000,1)</f>
        <v>2.7</v>
      </c>
      <c r="AB81" s="254"/>
      <c r="AC81" s="254"/>
      <c r="AD81" s="254"/>
      <c r="AE81" s="254"/>
      <c r="AF81" s="254"/>
      <c r="AG81" s="52" t="s">
        <v>218</v>
      </c>
      <c r="AH81" s="67" t="s">
        <v>219</v>
      </c>
      <c r="AI81" s="307">
        <v>32.6</v>
      </c>
      <c r="AJ81" s="307"/>
      <c r="AK81" s="307"/>
      <c r="AL81" s="307"/>
      <c r="AM81" s="307"/>
      <c r="AN81" s="68" t="s">
        <v>218</v>
      </c>
      <c r="AO81" s="65"/>
    </row>
    <row r="82" spans="1:41" ht="14.25" customHeight="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9" t="s">
        <v>199</v>
      </c>
      <c r="W82" s="249"/>
      <c r="X82" s="249"/>
      <c r="Y82" s="249"/>
      <c r="Z82" s="51" t="s">
        <v>117</v>
      </c>
      <c r="AA82" s="254">
        <v>343.83</v>
      </c>
      <c r="AB82" s="254"/>
      <c r="AC82" s="254"/>
      <c r="AD82" s="254"/>
      <c r="AE82" s="254"/>
      <c r="AF82" s="254"/>
      <c r="AG82" s="52" t="s">
        <v>218</v>
      </c>
      <c r="AH82" s="67" t="s">
        <v>219</v>
      </c>
      <c r="AI82" s="307">
        <v>264.10000000000002</v>
      </c>
      <c r="AJ82" s="307"/>
      <c r="AK82" s="307"/>
      <c r="AL82" s="307"/>
      <c r="AM82" s="307"/>
      <c r="AN82" s="68" t="s">
        <v>218</v>
      </c>
      <c r="AO82" s="65"/>
    </row>
    <row r="83" spans="1:41" ht="14.25" customHeight="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51" t="s">
        <v>117</v>
      </c>
      <c r="AA83" s="254">
        <f>ROUND(('[2]2дс'!$G$35+'[2]2дс'!$G$43)/1000,1)-AA82</f>
        <v>12961.17</v>
      </c>
      <c r="AB83" s="254"/>
      <c r="AC83" s="254"/>
      <c r="AD83" s="254"/>
      <c r="AE83" s="254"/>
      <c r="AF83" s="254"/>
      <c r="AG83" s="52" t="s">
        <v>218</v>
      </c>
      <c r="AH83" s="67" t="s">
        <v>219</v>
      </c>
      <c r="AI83" s="307">
        <v>10459.699999999999</v>
      </c>
      <c r="AJ83" s="307"/>
      <c r="AK83" s="307"/>
      <c r="AL83" s="307"/>
      <c r="AM83" s="307"/>
      <c r="AN83" s="68" t="s">
        <v>218</v>
      </c>
      <c r="AO83" s="65"/>
    </row>
    <row r="84" spans="1:41" ht="16.5" customHeight="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51" t="s">
        <v>117</v>
      </c>
      <c r="AA84" s="300">
        <f>SUM(AA81:AF83)</f>
        <v>13307.7</v>
      </c>
      <c r="AB84" s="300"/>
      <c r="AC84" s="300"/>
      <c r="AD84" s="300"/>
      <c r="AE84" s="300"/>
      <c r="AF84" s="300"/>
      <c r="AG84" s="52" t="s">
        <v>218</v>
      </c>
      <c r="AH84" s="67" t="s">
        <v>219</v>
      </c>
      <c r="AI84" s="302">
        <v>10756.4</v>
      </c>
      <c r="AJ84" s="302"/>
      <c r="AK84" s="302"/>
      <c r="AL84" s="302"/>
      <c r="AM84" s="302"/>
      <c r="AN84" s="68" t="s">
        <v>218</v>
      </c>
      <c r="AO84" s="65"/>
    </row>
    <row r="85" spans="1:41" ht="14.25" customHeight="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253.69999999999891</v>
      </c>
      <c r="AA85" s="272"/>
      <c r="AB85" s="272"/>
      <c r="AC85" s="272"/>
      <c r="AD85" s="272"/>
      <c r="AE85" s="272"/>
      <c r="AF85" s="272"/>
      <c r="AG85" s="272"/>
      <c r="AH85" s="306">
        <v>-1693.3999999999996</v>
      </c>
      <c r="AI85" s="307"/>
      <c r="AJ85" s="307"/>
      <c r="AK85" s="307"/>
      <c r="AL85" s="307"/>
      <c r="AM85" s="307"/>
      <c r="AN85" s="308"/>
      <c r="AO85" s="65"/>
    </row>
    <row r="86" spans="1:41" ht="14.25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51" t="s">
        <v>117</v>
      </c>
      <c r="AA86" s="254"/>
      <c r="AB86" s="254"/>
      <c r="AC86" s="254"/>
      <c r="AD86" s="254"/>
      <c r="AE86" s="254"/>
      <c r="AF86" s="254"/>
      <c r="AG86" s="52" t="s">
        <v>218</v>
      </c>
      <c r="AH86" s="311" t="s">
        <v>117</v>
      </c>
      <c r="AI86" s="307"/>
      <c r="AJ86" s="307"/>
      <c r="AK86" s="307"/>
      <c r="AL86" s="307"/>
      <c r="AM86" s="307"/>
      <c r="AN86" s="308"/>
      <c r="AO86" s="65"/>
    </row>
    <row r="87" spans="1:41" ht="16.5" customHeight="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253.69999999999891</v>
      </c>
      <c r="AA87" s="300"/>
      <c r="AB87" s="300"/>
      <c r="AC87" s="300"/>
      <c r="AD87" s="300"/>
      <c r="AE87" s="300"/>
      <c r="AF87" s="300"/>
      <c r="AG87" s="301"/>
      <c r="AH87" s="299">
        <v>-1693.3999999999996</v>
      </c>
      <c r="AI87" s="302"/>
      <c r="AJ87" s="302"/>
      <c r="AK87" s="302"/>
      <c r="AL87" s="302"/>
      <c r="AM87" s="302"/>
      <c r="AN87" s="303"/>
      <c r="AO87" s="65"/>
    </row>
    <row r="88" spans="1:41" ht="4.5" customHeight="1"/>
    <row r="89" spans="1:41" ht="15" customHeight="1">
      <c r="B89" s="247" t="s">
        <v>91</v>
      </c>
      <c r="C89" s="247"/>
      <c r="D89" s="247"/>
      <c r="E89" s="247"/>
      <c r="F89" s="247"/>
      <c r="G89" s="247"/>
      <c r="H89" s="247"/>
      <c r="I89" s="247"/>
      <c r="Q89" s="60"/>
      <c r="R89" s="60"/>
      <c r="S89" s="60"/>
      <c r="T89" s="60"/>
      <c r="U89" s="246"/>
      <c r="V89" s="246"/>
      <c r="W89" s="246"/>
      <c r="X89" s="246"/>
      <c r="AI89" s="243" t="s">
        <v>227</v>
      </c>
      <c r="AJ89" s="243"/>
      <c r="AK89" s="243"/>
      <c r="AL89" s="243"/>
      <c r="AM89" s="243"/>
    </row>
    <row r="90" spans="1:41">
      <c r="Q90" s="60"/>
      <c r="R90" s="60"/>
      <c r="S90" s="60"/>
      <c r="T90" s="60"/>
      <c r="U90" s="294" t="s">
        <v>94</v>
      </c>
      <c r="V90" s="294"/>
      <c r="W90" s="294"/>
      <c r="X90" s="294"/>
      <c r="AI90" s="294" t="s">
        <v>93</v>
      </c>
      <c r="AJ90" s="294"/>
      <c r="AK90" s="294"/>
      <c r="AL90" s="294"/>
      <c r="AM90" s="294"/>
    </row>
    <row r="91" spans="1:41" ht="4.5" customHeight="1">
      <c r="Q91" s="60"/>
      <c r="R91" s="60"/>
      <c r="S91" s="60"/>
      <c r="T91" s="60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60"/>
      <c r="R92" s="60"/>
      <c r="S92" s="60"/>
      <c r="T92" s="60"/>
      <c r="U92" s="246"/>
      <c r="V92" s="246"/>
      <c r="W92" s="246"/>
      <c r="X92" s="246"/>
      <c r="AI92" s="243" t="s">
        <v>228</v>
      </c>
      <c r="AJ92" s="243"/>
      <c r="AK92" s="243"/>
      <c r="AL92" s="243"/>
      <c r="AM92" s="243"/>
    </row>
    <row r="93" spans="1:41">
      <c r="Q93" s="60"/>
      <c r="R93" s="60"/>
      <c r="S93" s="60"/>
      <c r="T93" s="60"/>
      <c r="U93" s="294" t="s">
        <v>94</v>
      </c>
      <c r="V93" s="294"/>
      <c r="W93" s="294"/>
      <c r="X93" s="294"/>
      <c r="AI93" s="294" t="s">
        <v>93</v>
      </c>
      <c r="AJ93" s="294"/>
      <c r="AK93" s="294"/>
      <c r="AL93" s="294"/>
      <c r="AM93" s="294"/>
    </row>
    <row r="94" spans="1:41" ht="7.5" customHeight="1"/>
  </sheetData>
  <mergeCells count="286">
    <mergeCell ref="W1:AN1"/>
    <mergeCell ref="A3:AN3"/>
    <mergeCell ref="A4:AN4"/>
    <mergeCell ref="AI5:AN5"/>
    <mergeCell ref="A6:AF6"/>
    <mergeCell ref="AI6:AK6"/>
    <mergeCell ref="AM6:AN6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A11:M11"/>
    <mergeCell ref="N11:Z11"/>
    <mergeCell ref="A12:Z12"/>
    <mergeCell ref="A13:F13"/>
    <mergeCell ref="I15:S15"/>
    <mergeCell ref="T15:Y15"/>
    <mergeCell ref="Z15:AG15"/>
    <mergeCell ref="A9:I9"/>
    <mergeCell ref="J9:Z9"/>
    <mergeCell ref="AB9:AG9"/>
    <mergeCell ref="A19:U19"/>
    <mergeCell ref="V19:Y19"/>
    <mergeCell ref="Z19:AG19"/>
    <mergeCell ref="AH19:AN19"/>
    <mergeCell ref="A20:U20"/>
    <mergeCell ref="V20:Y20"/>
    <mergeCell ref="Z20:AG20"/>
    <mergeCell ref="AH20:AN20"/>
    <mergeCell ref="AH15:AN15"/>
    <mergeCell ref="I16:S16"/>
    <mergeCell ref="A18:U18"/>
    <mergeCell ref="V18:Y18"/>
    <mergeCell ref="Z18:AG18"/>
    <mergeCell ref="AH18:AN18"/>
    <mergeCell ref="AH22:AN22"/>
    <mergeCell ref="A23:U23"/>
    <mergeCell ref="V23:Y23"/>
    <mergeCell ref="Z23:AG23"/>
    <mergeCell ref="A24:U24"/>
    <mergeCell ref="V24:Y24"/>
    <mergeCell ref="A21:U21"/>
    <mergeCell ref="V21:Y21"/>
    <mergeCell ref="Z21:AG21"/>
    <mergeCell ref="A22:U22"/>
    <mergeCell ref="V22:Y22"/>
    <mergeCell ref="Z22:AG22"/>
    <mergeCell ref="AB24:AD24"/>
    <mergeCell ref="AI24:AM24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33:U33"/>
    <mergeCell ref="V33:Y33"/>
    <mergeCell ref="A34:U34"/>
    <mergeCell ref="V34:Y34"/>
    <mergeCell ref="Z34:AG34"/>
    <mergeCell ref="A35:U35"/>
    <mergeCell ref="V35:Y35"/>
    <mergeCell ref="Z35:AG35"/>
    <mergeCell ref="A31:U31"/>
    <mergeCell ref="V31:Y31"/>
    <mergeCell ref="Z31:AG31"/>
    <mergeCell ref="A38:U38"/>
    <mergeCell ref="V38:Y38"/>
    <mergeCell ref="Z38:AG38"/>
    <mergeCell ref="A39:U39"/>
    <mergeCell ref="V39:Y39"/>
    <mergeCell ref="Z39:AG39"/>
    <mergeCell ref="AH35:AN35"/>
    <mergeCell ref="A36:U36"/>
    <mergeCell ref="V36:Y36"/>
    <mergeCell ref="Z36:AG36"/>
    <mergeCell ref="A37:U37"/>
    <mergeCell ref="V37:Y37"/>
    <mergeCell ref="Z37:AG37"/>
    <mergeCell ref="AH37:AN37"/>
    <mergeCell ref="AH39:AN39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5:U45"/>
    <mergeCell ref="V45:Y45"/>
    <mergeCell ref="Z45:AG45"/>
    <mergeCell ref="AH45:AN45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9:U49"/>
    <mergeCell ref="V49:Y49"/>
    <mergeCell ref="Z49:AG49"/>
    <mergeCell ref="AH49:AN49"/>
    <mergeCell ref="A50:U50"/>
    <mergeCell ref="V50:Y50"/>
    <mergeCell ref="Z50:AG50"/>
    <mergeCell ref="AH50:AN50"/>
    <mergeCell ref="A47:U47"/>
    <mergeCell ref="V47:Y47"/>
    <mergeCell ref="Z47:AG47"/>
    <mergeCell ref="AH47:AN47"/>
    <mergeCell ref="A48:U48"/>
    <mergeCell ref="V48:Y48"/>
    <mergeCell ref="Z48:AG48"/>
    <mergeCell ref="AH52:AN52"/>
    <mergeCell ref="A53:U53"/>
    <mergeCell ref="V53:Y53"/>
    <mergeCell ref="Z53:AG53"/>
    <mergeCell ref="AH53:AN53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H61:AN61"/>
    <mergeCell ref="A62:U62"/>
    <mergeCell ref="V62:Y62"/>
    <mergeCell ref="Z62:AG62"/>
    <mergeCell ref="AH62:AN62"/>
    <mergeCell ref="A59:U59"/>
    <mergeCell ref="V59:Y59"/>
    <mergeCell ref="Z59:AG59"/>
    <mergeCell ref="A60:U60"/>
    <mergeCell ref="V60:Y60"/>
    <mergeCell ref="Z60:AG60"/>
    <mergeCell ref="A63:U63"/>
    <mergeCell ref="V63:Y63"/>
    <mergeCell ref="Z63:AG63"/>
    <mergeCell ref="A64:U64"/>
    <mergeCell ref="V64:Y64"/>
    <mergeCell ref="Z64:AG64"/>
    <mergeCell ref="A61:U61"/>
    <mergeCell ref="V61:Y61"/>
    <mergeCell ref="Z61:AG61"/>
    <mergeCell ref="A67:U67"/>
    <mergeCell ref="V67:Y67"/>
    <mergeCell ref="Z67:AG67"/>
    <mergeCell ref="AH67:AN67"/>
    <mergeCell ref="A68:U68"/>
    <mergeCell ref="V68:Y68"/>
    <mergeCell ref="Z68:AG68"/>
    <mergeCell ref="AH68:AN68"/>
    <mergeCell ref="AH64:AN64"/>
    <mergeCell ref="A65:U65"/>
    <mergeCell ref="V65:Y65"/>
    <mergeCell ref="Z65:AG65"/>
    <mergeCell ref="A66:U66"/>
    <mergeCell ref="V66:Y66"/>
    <mergeCell ref="Z66:AG66"/>
    <mergeCell ref="AH66:AN66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78:U78"/>
    <mergeCell ref="V78:Y78"/>
    <mergeCell ref="Z78:AG78"/>
    <mergeCell ref="AH78:AN78"/>
    <mergeCell ref="A79:U79"/>
    <mergeCell ref="V79:Y79"/>
    <mergeCell ref="Z79:AG79"/>
    <mergeCell ref="AH79:AN79"/>
    <mergeCell ref="A76:U76"/>
    <mergeCell ref="V76:Y76"/>
    <mergeCell ref="Z76:AG76"/>
    <mergeCell ref="AH76:AN76"/>
    <mergeCell ref="A77:U77"/>
    <mergeCell ref="V77:Y77"/>
    <mergeCell ref="Z77:AG77"/>
    <mergeCell ref="AH77:AN77"/>
    <mergeCell ref="AH80:AN80"/>
    <mergeCell ref="A81:U81"/>
    <mergeCell ref="V81:Y81"/>
    <mergeCell ref="AA81:AF81"/>
    <mergeCell ref="AI81:AM81"/>
    <mergeCell ref="AI82:AM82"/>
    <mergeCell ref="AI83:AM83"/>
    <mergeCell ref="A86:U86"/>
    <mergeCell ref="V86:Y86"/>
    <mergeCell ref="AA86:AF86"/>
    <mergeCell ref="AH86:AN86"/>
    <mergeCell ref="A82:U82"/>
    <mergeCell ref="V82:Y82"/>
    <mergeCell ref="AA82:AF82"/>
    <mergeCell ref="A83:U83"/>
    <mergeCell ref="V83:Y83"/>
    <mergeCell ref="AA83:AF83"/>
    <mergeCell ref="A80:U80"/>
    <mergeCell ref="V80:Y80"/>
    <mergeCell ref="Z80:AG80"/>
    <mergeCell ref="A87:U87"/>
    <mergeCell ref="V87:Y87"/>
    <mergeCell ref="Z87:AG87"/>
    <mergeCell ref="AH87:AN87"/>
    <mergeCell ref="A84:U84"/>
    <mergeCell ref="V84:Y84"/>
    <mergeCell ref="AA84:AF84"/>
    <mergeCell ref="A85:U85"/>
    <mergeCell ref="V85:Y85"/>
    <mergeCell ref="Z85:AG85"/>
    <mergeCell ref="AH85:AN85"/>
    <mergeCell ref="AI84:AM84"/>
    <mergeCell ref="B92:I92"/>
    <mergeCell ref="U92:X92"/>
    <mergeCell ref="AI92:AM92"/>
    <mergeCell ref="U93:X93"/>
    <mergeCell ref="AI93:AM93"/>
    <mergeCell ref="B89:I89"/>
    <mergeCell ref="U89:X89"/>
    <mergeCell ref="AI89:AM89"/>
    <mergeCell ref="U90:X90"/>
    <mergeCell ref="AI90:AM90"/>
    <mergeCell ref="U91:X91"/>
    <mergeCell ref="AI91:AM9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T94"/>
  <sheetViews>
    <sheetView showGridLines="0" topLeftCell="A70" workbookViewId="0">
      <selection activeCell="AT30" sqref="AT30"/>
    </sheetView>
  </sheetViews>
  <sheetFormatPr defaultRowHeight="12.75"/>
  <cols>
    <col min="1" max="5" width="2.28515625" style="102" customWidth="1"/>
    <col min="6" max="6" width="2.7109375" style="102" customWidth="1"/>
    <col min="7" max="29" width="2.28515625" style="102" customWidth="1"/>
    <col min="30" max="34" width="2.28515625" style="119" customWidth="1"/>
    <col min="35" max="35" width="4.140625" style="119" customWidth="1"/>
    <col min="36" max="36" width="4.42578125" style="119" customWidth="1"/>
    <col min="37" max="37" width="2.28515625" style="119" hidden="1" customWidth="1"/>
    <col min="38" max="38" width="4.7109375" style="119" customWidth="1"/>
    <col min="39" max="39" width="2" style="119" customWidth="1"/>
    <col min="40" max="40" width="11" style="40" customWidth="1"/>
    <col min="41" max="41" width="9.140625" style="119"/>
    <col min="42" max="42" width="13.28515625" style="119" customWidth="1"/>
    <col min="43" max="43" width="9.140625" style="119"/>
    <col min="44" max="44" width="11.7109375" style="119" customWidth="1"/>
    <col min="45" max="16384" width="9.140625" style="119"/>
  </cols>
  <sheetData>
    <row r="1" spans="1:40" ht="48.75" customHeight="1">
      <c r="W1" s="240" t="s">
        <v>208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</row>
    <row r="2" spans="1:40" ht="23.25" customHeight="1"/>
    <row r="3" spans="1:40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29.25" customHeight="1">
      <c r="A5" s="104"/>
      <c r="B5" s="104"/>
      <c r="C5" s="104"/>
      <c r="D5" s="104"/>
      <c r="E5" s="107"/>
      <c r="G5" s="104"/>
      <c r="H5" s="104"/>
      <c r="L5" s="5"/>
      <c r="AA5" s="107"/>
      <c r="AB5" s="107"/>
      <c r="AC5" s="107"/>
      <c r="AD5" s="107"/>
      <c r="AE5" s="107"/>
      <c r="AF5" s="107"/>
      <c r="AG5" s="107"/>
      <c r="AI5" s="256" t="s">
        <v>1</v>
      </c>
      <c r="AJ5" s="256"/>
      <c r="AK5" s="256"/>
      <c r="AL5" s="256"/>
      <c r="AM5" s="256"/>
      <c r="AN5" s="256"/>
    </row>
    <row r="6" spans="1:40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102"/>
      <c r="AI6" s="257" t="s">
        <v>243</v>
      </c>
      <c r="AJ6" s="258"/>
      <c r="AK6" s="259"/>
      <c r="AL6" s="101" t="s">
        <v>229</v>
      </c>
      <c r="AM6" s="284" t="s">
        <v>77</v>
      </c>
      <c r="AN6" s="284"/>
    </row>
    <row r="7" spans="1:40" ht="31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103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3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107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104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3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03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7.25" customHeight="1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246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103"/>
      <c r="AC11" s="105"/>
      <c r="AD11" s="105"/>
      <c r="AE11" s="105"/>
      <c r="AF11" s="105"/>
    </row>
    <row r="12" spans="1:40" ht="13.5" customHeight="1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103"/>
      <c r="AC12" s="12"/>
      <c r="AD12" s="12"/>
      <c r="AE12" s="102"/>
      <c r="AF12" s="102"/>
    </row>
    <row r="13" spans="1:40" ht="13.5" customHeight="1">
      <c r="A13" s="247" t="s">
        <v>130</v>
      </c>
      <c r="B13" s="247"/>
      <c r="C13" s="247"/>
      <c r="D13" s="247"/>
      <c r="E13" s="247"/>
      <c r="F13" s="247"/>
      <c r="AD13" s="102"/>
      <c r="AE13" s="102"/>
      <c r="AF13" s="102"/>
    </row>
    <row r="14" spans="1:40" ht="30" customHeight="1">
      <c r="C14" s="12"/>
      <c r="D14" s="12"/>
      <c r="E14" s="12"/>
      <c r="F14" s="12"/>
      <c r="L14" s="5"/>
    </row>
    <row r="15" spans="1:40" ht="15" customHeight="1">
      <c r="I15" s="260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 t="s">
        <v>215</v>
      </c>
      <c r="U15" s="260"/>
      <c r="V15" s="260"/>
      <c r="W15" s="260"/>
      <c r="X15" s="260"/>
      <c r="Y15" s="260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 ht="10.5" customHeight="1">
      <c r="I16" s="289" t="s">
        <v>245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46" ht="7.5" customHeight="1">
      <c r="G17" s="15"/>
      <c r="H17" s="15"/>
      <c r="L17" s="5"/>
    </row>
    <row r="18" spans="1:46" ht="27.7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65" t="s">
        <v>170</v>
      </c>
      <c r="W18" s="263"/>
      <c r="X18" s="263"/>
      <c r="Y18" s="264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 ht="15" customHeight="1">
      <c r="A19" s="269">
        <v>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 ht="19.5" customHeight="1">
      <c r="A20" s="355" t="s">
        <v>21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390"/>
      <c r="AI20" s="390"/>
      <c r="AJ20" s="390"/>
      <c r="AK20" s="390"/>
      <c r="AL20" s="390"/>
      <c r="AM20" s="390"/>
      <c r="AN20" s="390"/>
    </row>
    <row r="21" spans="1:46" ht="15" customHeight="1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367">
        <v>127.2</v>
      </c>
      <c r="AA21" s="368">
        <v>127.2</v>
      </c>
      <c r="AB21" s="368">
        <v>127.2</v>
      </c>
      <c r="AC21" s="368">
        <v>127.2</v>
      </c>
      <c r="AD21" s="368">
        <v>127.2</v>
      </c>
      <c r="AE21" s="368">
        <v>127.2</v>
      </c>
      <c r="AF21" s="368">
        <v>127.2</v>
      </c>
      <c r="AG21" s="369">
        <v>127.2</v>
      </c>
      <c r="AH21" s="24"/>
      <c r="AI21" s="34"/>
      <c r="AJ21" s="34"/>
      <c r="AK21" s="34"/>
      <c r="AL21" s="34"/>
      <c r="AM21" s="34"/>
      <c r="AN21" s="120" t="e">
        <f t="array" ref="AN21">ROUND(SUM(IF(LEFT('[1]март 2020'!$A$3:$A$125,2)="13",'[1]март 2020'!$AV$3:$AV$125)),1)</f>
        <v>#REF!</v>
      </c>
      <c r="AP21" s="119" t="s">
        <v>231</v>
      </c>
    </row>
    <row r="22" spans="1:46" ht="15" customHeight="1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Z23-AB24</f>
        <v>4524.1000000000004</v>
      </c>
      <c r="AA22" s="278"/>
      <c r="AB22" s="278"/>
      <c r="AC22" s="278"/>
      <c r="AD22" s="278"/>
      <c r="AE22" s="278"/>
      <c r="AF22" s="278"/>
      <c r="AG22" s="278"/>
      <c r="AH22" s="387" t="e">
        <f>AN23-AI24</f>
        <v>#REF!</v>
      </c>
      <c r="AI22" s="379"/>
      <c r="AJ22" s="379"/>
      <c r="AK22" s="379"/>
      <c r="AL22" s="379"/>
      <c r="AM22" s="379"/>
      <c r="AN22" s="379"/>
    </row>
    <row r="23" spans="1:46" ht="15" customHeight="1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14034.5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24"/>
      <c r="AI23" s="116"/>
      <c r="AJ23" s="116"/>
      <c r="AK23" s="116"/>
      <c r="AL23" s="116"/>
      <c r="AM23" s="110"/>
      <c r="AN23" s="120" t="e">
        <f t="array" ref="AN23">ROUND(SUM(IF((LEFT('[1]март 2020'!$A$3:$A$125,2)="10")+(LEFT('[1]март 2020'!$A$3:$A$125,2)="11"),'[1]март 2020'!$AV$3:$AV$125)),1)</f>
        <v>#REF!</v>
      </c>
      <c r="AP23" s="119" t="s">
        <v>232</v>
      </c>
      <c r="AQ23" s="119" t="s">
        <v>233</v>
      </c>
    </row>
    <row r="24" spans="1:46" ht="15" customHeight="1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102" t="s">
        <v>219</v>
      </c>
      <c r="AA24" s="116"/>
      <c r="AB24" s="389">
        <v>9510.4</v>
      </c>
      <c r="AC24" s="389"/>
      <c r="AD24" s="389"/>
      <c r="AE24" s="108"/>
      <c r="AF24" s="116" t="s">
        <v>218</v>
      </c>
      <c r="AG24" s="117"/>
      <c r="AH24" s="113" t="s">
        <v>219</v>
      </c>
      <c r="AI24" s="389" t="e">
        <f t="array" ref="AI24">-ROUND(SUM(IF((LEFT('[1]март 2020'!$A$3:$A$125,4)="1411")+(LEFT('[1]март 2020'!$A$3:$A$125,4)="1412"),'[1]март 2020'!$AW$3:$AW$125)),1)</f>
        <v>#REF!</v>
      </c>
      <c r="AJ24" s="389"/>
      <c r="AK24" s="389"/>
      <c r="AL24" s="389"/>
      <c r="AM24" s="389"/>
      <c r="AN24" s="125" t="s">
        <v>218</v>
      </c>
      <c r="AP24" s="36">
        <v>1411</v>
      </c>
      <c r="AQ24" s="36">
        <v>1412</v>
      </c>
    </row>
    <row r="25" spans="1:46" ht="15" customHeight="1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278"/>
      <c r="AA25" s="278"/>
      <c r="AB25" s="278"/>
      <c r="AC25" s="278"/>
      <c r="AD25" s="278"/>
      <c r="AE25" s="278"/>
      <c r="AF25" s="278"/>
      <c r="AG25" s="278"/>
      <c r="AH25" s="358"/>
      <c r="AI25" s="279"/>
      <c r="AJ25" s="279"/>
      <c r="AK25" s="279"/>
      <c r="AL25" s="279"/>
      <c r="AM25" s="358"/>
      <c r="AN25" s="279"/>
    </row>
    <row r="26" spans="1:46" ht="15" customHeight="1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</row>
    <row r="27" spans="1:46" ht="15" customHeight="1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</row>
    <row r="28" spans="1:46" ht="19.5" customHeight="1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15" t="s">
        <v>142</v>
      </c>
      <c r="W28" s="316"/>
      <c r="X28" s="316"/>
      <c r="Y28" s="317"/>
      <c r="Z28" s="318">
        <f>Z22+Z25+Z26+Z27+Z21</f>
        <v>4651.3</v>
      </c>
      <c r="AA28" s="319"/>
      <c r="AB28" s="319"/>
      <c r="AC28" s="319"/>
      <c r="AD28" s="319"/>
      <c r="AE28" s="319"/>
      <c r="AF28" s="319"/>
      <c r="AG28" s="319"/>
      <c r="AH28" s="318" t="e">
        <f>AH22+AH25+AH26+AH27+AN21</f>
        <v>#REF!</v>
      </c>
      <c r="AI28" s="319"/>
      <c r="AJ28" s="319"/>
      <c r="AK28" s="319"/>
      <c r="AL28" s="319"/>
      <c r="AM28" s="319"/>
      <c r="AN28" s="319"/>
    </row>
    <row r="29" spans="1:46" ht="19.5" customHeight="1">
      <c r="A29" s="355" t="s">
        <v>31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7"/>
      <c r="V29" s="273"/>
      <c r="W29" s="273"/>
      <c r="X29" s="273"/>
      <c r="Y29" s="273"/>
      <c r="Z29" s="278"/>
      <c r="AA29" s="278"/>
      <c r="AB29" s="278"/>
      <c r="AC29" s="278"/>
      <c r="AD29" s="278"/>
      <c r="AE29" s="278"/>
      <c r="AF29" s="278"/>
      <c r="AG29" s="278"/>
      <c r="AH29" s="370"/>
      <c r="AI29" s="370"/>
      <c r="AJ29" s="370"/>
      <c r="AK29" s="370"/>
      <c r="AL29" s="370"/>
      <c r="AM29" s="370"/>
      <c r="AN29" s="370"/>
    </row>
    <row r="30" spans="1:46" ht="15" customHeight="1">
      <c r="A30" s="304" t="s">
        <v>132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65" t="s">
        <v>143</v>
      </c>
      <c r="W30" s="266"/>
      <c r="X30" s="266"/>
      <c r="Y30" s="267"/>
      <c r="Z30" s="367">
        <v>16804</v>
      </c>
      <c r="AA30" s="368"/>
      <c r="AB30" s="368"/>
      <c r="AC30" s="368"/>
      <c r="AD30" s="368"/>
      <c r="AE30" s="368"/>
      <c r="AF30" s="368"/>
      <c r="AG30" s="369"/>
      <c r="AH30" s="115"/>
      <c r="AI30" s="116"/>
      <c r="AJ30" s="116"/>
      <c r="AK30" s="116"/>
      <c r="AL30" s="116"/>
      <c r="AM30" s="116"/>
      <c r="AN30" s="120" t="e">
        <f t="array" ref="AN30">ROUND(SUM(IF((LEFT('[1]март 2020'!$A$3:$A$125,2)="15")+(LEFT('[1]март 2020'!$A$3:$A$125,2)="18"),'[1]март 2020'!$AV$3:$AV$125)),1)-0.3</f>
        <v>#REF!</v>
      </c>
      <c r="AP30" s="36">
        <v>15</v>
      </c>
      <c r="AQ30" s="36">
        <v>1811</v>
      </c>
      <c r="AR30" s="36">
        <v>1812</v>
      </c>
      <c r="AS30" s="36">
        <v>1814</v>
      </c>
      <c r="AT30" s="36">
        <v>1815</v>
      </c>
    </row>
    <row r="31" spans="1:46" ht="15" customHeight="1">
      <c r="A31" s="325" t="s">
        <v>210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7"/>
      <c r="V31" s="265" t="s">
        <v>144</v>
      </c>
      <c r="W31" s="266"/>
      <c r="X31" s="266"/>
      <c r="Y31" s="267"/>
      <c r="Z31" s="383"/>
      <c r="AA31" s="384"/>
      <c r="AB31" s="384"/>
      <c r="AC31" s="384"/>
      <c r="AD31" s="384"/>
      <c r="AE31" s="384"/>
      <c r="AF31" s="384"/>
      <c r="AG31" s="385"/>
      <c r="AH31" s="331"/>
      <c r="AI31" s="332"/>
      <c r="AJ31" s="332"/>
      <c r="AK31" s="332"/>
      <c r="AL31" s="332"/>
      <c r="AM31" s="332"/>
      <c r="AN31" s="333"/>
    </row>
    <row r="32" spans="1:46" ht="15" customHeight="1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386"/>
      <c r="AA32" s="386"/>
      <c r="AB32" s="386"/>
      <c r="AC32" s="386"/>
      <c r="AD32" s="386"/>
      <c r="AE32" s="386"/>
      <c r="AF32" s="386"/>
      <c r="AG32" s="386"/>
      <c r="AH32" s="370"/>
      <c r="AI32" s="370"/>
      <c r="AJ32" s="370"/>
      <c r="AK32" s="370"/>
      <c r="AL32" s="370"/>
      <c r="AM32" s="370"/>
      <c r="AN32" s="370"/>
    </row>
    <row r="33" spans="1:46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42"/>
      <c r="AA33" s="43"/>
      <c r="AB33" s="43"/>
      <c r="AC33" s="43"/>
      <c r="AD33" s="43"/>
      <c r="AE33" s="43"/>
      <c r="AF33" s="43"/>
      <c r="AG33" s="44"/>
      <c r="AH33" s="111"/>
      <c r="AI33" s="112"/>
      <c r="AJ33" s="112"/>
      <c r="AK33" s="112"/>
      <c r="AL33" s="112"/>
      <c r="AM33" s="112"/>
      <c r="AN33" s="121" t="e">
        <f t="array" ref="AN33">ROUND(SUM(IF(LEFT('[1]март 2020'!$A$3:$A$125,4)="2111",'[1]март 2020'!$AV$3:$AV$125)),1)</f>
        <v>#REF!</v>
      </c>
      <c r="AP33" s="119" t="s">
        <v>237</v>
      </c>
    </row>
    <row r="34" spans="1:46" ht="15" customHeight="1">
      <c r="A34" s="304" t="s">
        <v>36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265" t="s">
        <v>147</v>
      </c>
      <c r="W34" s="266"/>
      <c r="X34" s="266"/>
      <c r="Y34" s="267"/>
      <c r="Z34" s="367">
        <v>12.3</v>
      </c>
      <c r="AA34" s="368"/>
      <c r="AB34" s="368"/>
      <c r="AC34" s="368"/>
      <c r="AD34" s="368"/>
      <c r="AE34" s="368"/>
      <c r="AF34" s="368"/>
      <c r="AG34" s="369"/>
      <c r="AH34" s="115"/>
      <c r="AI34" s="116"/>
      <c r="AJ34" s="116"/>
      <c r="AK34" s="116"/>
      <c r="AL34" s="116"/>
      <c r="AM34" s="116"/>
      <c r="AN34" s="120" t="e">
        <f t="array" ref="AN34">ROUND(SUM(IF((LEFT('[1]март 2020'!$A$3:$A$125,4)="2110")+(LEFT('[1]март 2020'!$A$3:$A$125,4)="2114")+(LEFT('[1]март 2020'!$A$3:$A$125,4)="2116"),'[1]март 2020'!$AV$3:$AV$125)),1)</f>
        <v>#REF!</v>
      </c>
      <c r="AP34" s="119" t="s">
        <v>235</v>
      </c>
      <c r="AQ34" s="119" t="s">
        <v>236</v>
      </c>
      <c r="AS34" s="119" t="s">
        <v>239</v>
      </c>
    </row>
    <row r="35" spans="1:46" ht="15" customHeight="1">
      <c r="A35" s="325" t="s">
        <v>164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  <c r="V35" s="265" t="s">
        <v>148</v>
      </c>
      <c r="W35" s="266"/>
      <c r="X35" s="266"/>
      <c r="Y35" s="267"/>
      <c r="Z35" s="380"/>
      <c r="AA35" s="381"/>
      <c r="AB35" s="381"/>
      <c r="AC35" s="381"/>
      <c r="AD35" s="381"/>
      <c r="AE35" s="381"/>
      <c r="AF35" s="381"/>
      <c r="AG35" s="382"/>
      <c r="AH35" s="375"/>
      <c r="AI35" s="376"/>
      <c r="AJ35" s="376"/>
      <c r="AK35" s="376"/>
      <c r="AL35" s="376"/>
      <c r="AM35" s="376"/>
      <c r="AN35" s="377"/>
    </row>
    <row r="36" spans="1:46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367">
        <v>1259.7</v>
      </c>
      <c r="AA36" s="368"/>
      <c r="AB36" s="368"/>
      <c r="AC36" s="368"/>
      <c r="AD36" s="368"/>
      <c r="AE36" s="368"/>
      <c r="AF36" s="368"/>
      <c r="AG36" s="369"/>
      <c r="AH36" s="115"/>
      <c r="AI36" s="116"/>
      <c r="AJ36" s="116"/>
      <c r="AK36" s="116"/>
      <c r="AL36" s="116"/>
      <c r="AM36" s="116"/>
      <c r="AN36" s="120" t="e">
        <f t="array" ref="AN36">ROUND(SUM(IF((LEFT('[1]март 2020'!$A$3:$A$125,4)="2711")+(LEFT('[1]март 2020'!$A$3:$A$125,6)="2113/с")+(LEFT('[1]март 2020'!$A$3:$A$125,4)="2213"),'[1]март 2020'!$AV$3:$AV$125)),1)</f>
        <v>#REF!</v>
      </c>
      <c r="AP36" s="119" t="s">
        <v>234</v>
      </c>
      <c r="AQ36" s="119" t="s">
        <v>241</v>
      </c>
      <c r="AR36" s="119" t="s">
        <v>242</v>
      </c>
    </row>
    <row r="37" spans="1:46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378"/>
      <c r="AA37" s="378"/>
      <c r="AB37" s="378"/>
      <c r="AC37" s="378"/>
      <c r="AD37" s="378"/>
      <c r="AE37" s="378"/>
      <c r="AF37" s="378"/>
      <c r="AG37" s="378"/>
      <c r="AH37" s="379"/>
      <c r="AI37" s="379"/>
      <c r="AJ37" s="379"/>
      <c r="AK37" s="379"/>
      <c r="AL37" s="379"/>
      <c r="AM37" s="379"/>
      <c r="AN37" s="379"/>
    </row>
    <row r="38" spans="1:46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367">
        <v>10.7</v>
      </c>
      <c r="AA38" s="368"/>
      <c r="AB38" s="368"/>
      <c r="AC38" s="368"/>
      <c r="AD38" s="368"/>
      <c r="AE38" s="368"/>
      <c r="AF38" s="368"/>
      <c r="AG38" s="369"/>
      <c r="AH38" s="115"/>
      <c r="AI38" s="116"/>
      <c r="AJ38" s="116"/>
      <c r="AK38" s="116"/>
      <c r="AL38" s="116"/>
      <c r="AM38" s="116"/>
      <c r="AN38" s="120" t="e">
        <f t="array" ref="AN38">ROUND(SUM(IF((LEFT('[1]март 2020'!$A$3:$A$125,4)="2211")+(LEFT('[1]март 2020'!$A$3:$A$125,4)="8311")+(LEFT('[1]март 2020'!$A$3:$A$125,2)="23")+((LEFT('[1]март 2020'!$A$3:$A$125,4)="2113")*(LEFT('[1]март 2020'!$A$3:$A$125,6)&lt;&gt;"2113/с")),'[1]март 2020'!$AV$3:$AV$125)),1)</f>
        <v>#REF!</v>
      </c>
      <c r="AP38" s="36">
        <v>2211</v>
      </c>
      <c r="AQ38" s="36"/>
      <c r="AR38" s="36">
        <v>8311</v>
      </c>
      <c r="AS38" s="119" t="s">
        <v>240</v>
      </c>
      <c r="AT38" s="119" t="s">
        <v>238</v>
      </c>
    </row>
    <row r="39" spans="1:46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</row>
    <row r="40" spans="1:46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</row>
    <row r="41" spans="1:46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364">
        <v>18086.7</v>
      </c>
      <c r="AA41" s="365"/>
      <c r="AB41" s="365"/>
      <c r="AC41" s="365"/>
      <c r="AD41" s="365"/>
      <c r="AE41" s="365"/>
      <c r="AF41" s="365"/>
      <c r="AG41" s="366"/>
      <c r="AH41" s="399" t="e">
        <f>SUM(AN30,AH32:AN34,AH36:AN40)</f>
        <v>#REF!</v>
      </c>
      <c r="AI41" s="399"/>
      <c r="AJ41" s="399"/>
      <c r="AK41" s="399"/>
      <c r="AL41" s="399"/>
      <c r="AM41" s="399"/>
      <c r="AN41" s="399"/>
    </row>
    <row r="42" spans="1:46" ht="28.5" customHeight="1">
      <c r="A42" s="283" t="s">
        <v>207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</row>
    <row r="43" spans="1:46" ht="22.5" customHeight="1">
      <c r="A43" s="372" t="s">
        <v>44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4"/>
      <c r="V43" s="371" t="s">
        <v>156</v>
      </c>
      <c r="W43" s="371"/>
      <c r="X43" s="371"/>
      <c r="Y43" s="371"/>
      <c r="Z43" s="318">
        <f>Z28+Z41+Z42</f>
        <v>22738</v>
      </c>
      <c r="AA43" s="319"/>
      <c r="AB43" s="319"/>
      <c r="AC43" s="319"/>
      <c r="AD43" s="319"/>
      <c r="AE43" s="319"/>
      <c r="AF43" s="319"/>
      <c r="AG43" s="319"/>
      <c r="AH43" s="399" t="e">
        <f>AH28+AH41+AH42</f>
        <v>#REF!</v>
      </c>
      <c r="AI43" s="399"/>
      <c r="AJ43" s="399"/>
      <c r="AK43" s="399"/>
      <c r="AL43" s="399"/>
      <c r="AM43" s="399"/>
      <c r="AN43" s="399"/>
      <c r="AP43" s="40" t="e">
        <f>AH43+AR68</f>
        <v>#REF!</v>
      </c>
    </row>
    <row r="44" spans="1:46" ht="4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109"/>
      <c r="AI44" s="109"/>
      <c r="AJ44" s="109"/>
      <c r="AK44" s="109"/>
      <c r="AL44" s="109"/>
      <c r="AM44" s="109"/>
      <c r="AN44" s="126"/>
    </row>
    <row r="45" spans="1:46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6" ht="12.75" customHeight="1">
      <c r="A46" s="269">
        <v>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81">
        <v>2</v>
      </c>
      <c r="W46" s="281"/>
      <c r="X46" s="281"/>
      <c r="Y46" s="281"/>
      <c r="Z46" s="253">
        <v>3</v>
      </c>
      <c r="AA46" s="254"/>
      <c r="AB46" s="254"/>
      <c r="AC46" s="254"/>
      <c r="AD46" s="254"/>
      <c r="AE46" s="254"/>
      <c r="AF46" s="254"/>
      <c r="AG46" s="255"/>
      <c r="AH46" s="253">
        <v>4</v>
      </c>
      <c r="AI46" s="254"/>
      <c r="AJ46" s="254"/>
      <c r="AK46" s="254"/>
      <c r="AL46" s="254"/>
      <c r="AM46" s="254"/>
      <c r="AN46" s="255"/>
    </row>
    <row r="47" spans="1:46" ht="19.5" customHeight="1">
      <c r="A47" s="355" t="s">
        <v>46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7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370"/>
      <c r="AI47" s="370"/>
      <c r="AJ47" s="370"/>
      <c r="AK47" s="370"/>
      <c r="AL47" s="370"/>
      <c r="AM47" s="370"/>
      <c r="AN47" s="370"/>
    </row>
    <row r="48" spans="1:46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367">
        <v>5934.6</v>
      </c>
      <c r="AA48" s="368"/>
      <c r="AB48" s="368"/>
      <c r="AC48" s="368"/>
      <c r="AD48" s="368"/>
      <c r="AE48" s="368"/>
      <c r="AF48" s="368"/>
      <c r="AG48" s="369"/>
      <c r="AH48" s="115"/>
      <c r="AI48" s="116"/>
      <c r="AJ48" s="116"/>
      <c r="AK48" s="116"/>
      <c r="AL48" s="116"/>
      <c r="AM48" s="116"/>
      <c r="AN48" s="120" t="e">
        <f t="array" ref="AN48">-ROUND(SUM(IF(LEFT('[1]март 2020'!$A$3:$A$125,4)="5111",'[1]март 2020'!$AW$3:$AW$125)),1)</f>
        <v>#REF!</v>
      </c>
      <c r="AP48" s="36">
        <v>5111</v>
      </c>
    </row>
    <row r="49" spans="1:43" ht="13.5" customHeight="1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358"/>
      <c r="AI49" s="358"/>
      <c r="AJ49" s="358"/>
      <c r="AK49" s="358"/>
      <c r="AL49" s="358"/>
      <c r="AM49" s="358"/>
      <c r="AN49" s="358"/>
    </row>
    <row r="50" spans="1:43" ht="13.5" customHeight="1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370"/>
      <c r="AI50" s="370"/>
      <c r="AJ50" s="370"/>
      <c r="AK50" s="370"/>
      <c r="AL50" s="370"/>
      <c r="AM50" s="370"/>
      <c r="AN50" s="370"/>
    </row>
    <row r="51" spans="1:43" ht="13.5" customHeight="1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367">
        <v>1865.4</v>
      </c>
      <c r="AA51" s="368"/>
      <c r="AB51" s="368"/>
      <c r="AC51" s="368"/>
      <c r="AD51" s="368"/>
      <c r="AE51" s="368"/>
      <c r="AF51" s="368"/>
      <c r="AG51" s="369"/>
      <c r="AH51" s="124"/>
      <c r="AI51" s="122"/>
      <c r="AJ51" s="122"/>
      <c r="AK51" s="122"/>
      <c r="AL51" s="122"/>
      <c r="AM51" s="122"/>
      <c r="AN51" s="120" t="e">
        <f t="array" ref="AN51">-ROUND(SUM(IF((LEFT('[1]март 2020'!$A$3:$A$125,4)="5512"),'[1]март 2020'!$AW$3:$AW$125)),1)-ROUND(SUM(IF((LEFT('[1]март 2020'!$A$3:$A$125,4)="5511"),'[1]март 2020'!$AW$3:$AW$125)),1)-0.1</f>
        <v>#REF!</v>
      </c>
      <c r="AP51" s="36">
        <v>-5511</v>
      </c>
      <c r="AQ51" s="36">
        <v>5512</v>
      </c>
    </row>
    <row r="52" spans="1:43" ht="13.5" customHeight="1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253" t="s">
        <v>117</v>
      </c>
      <c r="AA52" s="254"/>
      <c r="AB52" s="254"/>
      <c r="AC52" s="254"/>
      <c r="AD52" s="254"/>
      <c r="AE52" s="254"/>
      <c r="AF52" s="254"/>
      <c r="AG52" s="255"/>
      <c r="AH52" s="400" t="s">
        <v>118</v>
      </c>
      <c r="AI52" s="401"/>
      <c r="AJ52" s="401"/>
      <c r="AK52" s="401"/>
      <c r="AL52" s="401"/>
      <c r="AM52" s="401"/>
      <c r="AN52" s="402"/>
    </row>
    <row r="53" spans="1:43" ht="19.5" customHeight="1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62">
        <f>SUM(Z48:AG52)</f>
        <v>7800</v>
      </c>
      <c r="AA53" s="363"/>
      <c r="AB53" s="363"/>
      <c r="AC53" s="363"/>
      <c r="AD53" s="363"/>
      <c r="AE53" s="363"/>
      <c r="AF53" s="363"/>
      <c r="AG53" s="363"/>
      <c r="AH53" s="403" t="e">
        <f>SUM(AH48:AN52)</f>
        <v>#REF!</v>
      </c>
      <c r="AI53" s="403"/>
      <c r="AJ53" s="403"/>
      <c r="AK53" s="403"/>
      <c r="AL53" s="403"/>
      <c r="AM53" s="403"/>
      <c r="AN53" s="403"/>
    </row>
    <row r="54" spans="1:43" ht="27" customHeight="1">
      <c r="A54" s="315" t="s">
        <v>158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  <c r="V54" s="283" t="s">
        <v>177</v>
      </c>
      <c r="W54" s="283"/>
      <c r="X54" s="283"/>
      <c r="Y54" s="283"/>
      <c r="Z54" s="364">
        <v>127.2</v>
      </c>
      <c r="AA54" s="365"/>
      <c r="AB54" s="365"/>
      <c r="AC54" s="365"/>
      <c r="AD54" s="365"/>
      <c r="AE54" s="365"/>
      <c r="AF54" s="365"/>
      <c r="AG54" s="366"/>
      <c r="AH54" s="62"/>
      <c r="AI54" s="37"/>
      <c r="AJ54" s="37"/>
      <c r="AK54" s="37"/>
      <c r="AL54" s="37"/>
      <c r="AM54" s="37"/>
      <c r="AN54" s="123" t="e">
        <f t="array" ref="AN54">-ROUND(SUM(IF(LEFT('[1]март 2020'!$A$3:$A$125,4)="5411",'[1]март 2020'!$AW$3:$AW$125)),1)</f>
        <v>#REF!</v>
      </c>
      <c r="AP54" s="36">
        <v>5411</v>
      </c>
    </row>
    <row r="55" spans="1:43" ht="18" customHeight="1">
      <c r="A55" s="355" t="s">
        <v>159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7"/>
      <c r="V55" s="283"/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358"/>
      <c r="AI55" s="358"/>
      <c r="AJ55" s="358"/>
      <c r="AK55" s="358"/>
      <c r="AL55" s="358"/>
      <c r="AM55" s="358"/>
      <c r="AN55" s="358"/>
    </row>
    <row r="56" spans="1:43" ht="13.5" customHeight="1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69" t="s">
        <v>178</v>
      </c>
      <c r="W56" s="270"/>
      <c r="X56" s="270"/>
      <c r="Y56" s="27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</row>
    <row r="57" spans="1:43" ht="13.5" customHeight="1">
      <c r="A57" s="338" t="s">
        <v>160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1"/>
      <c r="W57" s="342"/>
      <c r="X57" s="342"/>
      <c r="Y57" s="343"/>
      <c r="Z57" s="344"/>
      <c r="AA57" s="345"/>
      <c r="AB57" s="345"/>
      <c r="AC57" s="345"/>
      <c r="AD57" s="345"/>
      <c r="AE57" s="345"/>
      <c r="AF57" s="345"/>
      <c r="AG57" s="346"/>
      <c r="AH57" s="335"/>
      <c r="AI57" s="336"/>
      <c r="AJ57" s="336"/>
      <c r="AK57" s="336"/>
      <c r="AL57" s="336"/>
      <c r="AM57" s="336"/>
      <c r="AN57" s="337"/>
    </row>
    <row r="58" spans="1:43" ht="13.5" customHeight="1">
      <c r="A58" s="347" t="s">
        <v>161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350" t="s">
        <v>179</v>
      </c>
      <c r="W58" s="291"/>
      <c r="X58" s="291"/>
      <c r="Y58" s="351"/>
      <c r="Z58" s="352"/>
      <c r="AA58" s="353"/>
      <c r="AB58" s="353"/>
      <c r="AC58" s="353"/>
      <c r="AD58" s="353"/>
      <c r="AE58" s="353"/>
      <c r="AF58" s="353"/>
      <c r="AG58" s="354"/>
      <c r="AH58" s="331"/>
      <c r="AI58" s="332"/>
      <c r="AJ58" s="332"/>
      <c r="AK58" s="332"/>
      <c r="AL58" s="332"/>
      <c r="AM58" s="332"/>
      <c r="AN58" s="333"/>
    </row>
    <row r="59" spans="1:43" ht="13.5" customHeight="1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69" t="s">
        <v>180</v>
      </c>
      <c r="W59" s="270"/>
      <c r="X59" s="270"/>
      <c r="Y59" s="271"/>
      <c r="Z59" s="278"/>
      <c r="AA59" s="278"/>
      <c r="AB59" s="278"/>
      <c r="AC59" s="278"/>
      <c r="AD59" s="278"/>
      <c r="AE59" s="278"/>
      <c r="AF59" s="278"/>
      <c r="AG59" s="278"/>
      <c r="AH59" s="115"/>
      <c r="AI59" s="116"/>
      <c r="AJ59" s="116"/>
      <c r="AK59" s="116"/>
      <c r="AL59" s="116"/>
      <c r="AM59" s="116"/>
      <c r="AN59" s="120" t="e">
        <f t="array" ref="AN59">-ROUND(SUM(IF(LEFT('[1]март 2020'!$A$3:$A$125,4)="2113",'[1]март 2020'!$AW$3:$AW$125)),1)</f>
        <v>#REF!</v>
      </c>
      <c r="AP59" s="119" t="s">
        <v>238</v>
      </c>
    </row>
    <row r="60" spans="1:43" ht="13.5" customHeight="1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69" t="s">
        <v>181</v>
      </c>
      <c r="W60" s="270"/>
      <c r="X60" s="270"/>
      <c r="Y60" s="271"/>
      <c r="Z60" s="278">
        <v>2.4</v>
      </c>
      <c r="AA60" s="278"/>
      <c r="AB60" s="278"/>
      <c r="AC60" s="278"/>
      <c r="AD60" s="278"/>
      <c r="AE60" s="278"/>
      <c r="AF60" s="278"/>
      <c r="AG60" s="323"/>
      <c r="AH60" s="115"/>
      <c r="AI60" s="116"/>
      <c r="AJ60" s="116"/>
      <c r="AK60" s="116"/>
      <c r="AL60" s="116"/>
      <c r="AM60" s="116"/>
      <c r="AN60" s="120" t="e">
        <f t="array" ref="AN60">-ROUND(SUM(IF((LEFT('[1]март 2020'!$A$3:$A$125,4)="6311")+(LEFT('[1]март 2020'!$A$3:$A$125,4)="6312"),'[1]март 2020'!$AW$3:$AW$125)),1)</f>
        <v>#REF!</v>
      </c>
      <c r="AP60" s="36">
        <v>6311</v>
      </c>
      <c r="AQ60" s="36">
        <v>6312</v>
      </c>
    </row>
    <row r="61" spans="1:43" ht="13.5" customHeight="1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69" t="s">
        <v>182</v>
      </c>
      <c r="W61" s="270"/>
      <c r="X61" s="270"/>
      <c r="Y61" s="271"/>
      <c r="Z61" s="278"/>
      <c r="AA61" s="278"/>
      <c r="AB61" s="278"/>
      <c r="AC61" s="278"/>
      <c r="AD61" s="278"/>
      <c r="AE61" s="278"/>
      <c r="AF61" s="278"/>
      <c r="AG61" s="278"/>
      <c r="AH61" s="331"/>
      <c r="AI61" s="332"/>
      <c r="AJ61" s="332"/>
      <c r="AK61" s="332"/>
      <c r="AL61" s="332"/>
      <c r="AM61" s="332"/>
      <c r="AN61" s="333"/>
    </row>
    <row r="62" spans="1:43" ht="13.5" customHeight="1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69" t="s">
        <v>183</v>
      </c>
      <c r="W62" s="270"/>
      <c r="X62" s="270"/>
      <c r="Y62" s="271"/>
      <c r="Z62" s="278"/>
      <c r="AA62" s="278"/>
      <c r="AB62" s="278"/>
      <c r="AC62" s="278"/>
      <c r="AD62" s="278"/>
      <c r="AE62" s="278"/>
      <c r="AF62" s="278"/>
      <c r="AG62" s="278"/>
      <c r="AH62" s="335"/>
      <c r="AI62" s="336"/>
      <c r="AJ62" s="336"/>
      <c r="AK62" s="336"/>
      <c r="AL62" s="336"/>
      <c r="AM62" s="336"/>
      <c r="AN62" s="337"/>
    </row>
    <row r="63" spans="1:43" ht="13.5" customHeight="1">
      <c r="A63" s="325" t="s">
        <v>166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7"/>
      <c r="V63" s="269" t="s">
        <v>184</v>
      </c>
      <c r="W63" s="270"/>
      <c r="X63" s="270"/>
      <c r="Y63" s="271"/>
      <c r="Z63" s="323">
        <v>9.9</v>
      </c>
      <c r="AA63" s="328"/>
      <c r="AB63" s="328"/>
      <c r="AC63" s="328"/>
      <c r="AD63" s="328"/>
      <c r="AE63" s="328"/>
      <c r="AF63" s="328"/>
      <c r="AG63" s="328"/>
      <c r="AH63" s="115"/>
      <c r="AI63" s="116"/>
      <c r="AJ63" s="116"/>
      <c r="AK63" s="116"/>
      <c r="AL63" s="116"/>
      <c r="AM63" s="116"/>
      <c r="AN63" s="120" t="e">
        <f t="array" ref="AN63">-ROUND(SUM(IF(LEFT('[1]март 2020'!$A$3:$A$125,3)="651",'[1]март 2020'!$AW$3:$AW$125)),1)</f>
        <v>#REF!</v>
      </c>
      <c r="AP63" s="36">
        <v>651</v>
      </c>
    </row>
    <row r="64" spans="1:43" ht="13.5" customHeight="1">
      <c r="A64" s="304" t="s">
        <v>167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269" t="s">
        <v>185</v>
      </c>
      <c r="W64" s="270"/>
      <c r="X64" s="270"/>
      <c r="Y64" s="271"/>
      <c r="Z64" s="323"/>
      <c r="AA64" s="328"/>
      <c r="AB64" s="328"/>
      <c r="AC64" s="328"/>
      <c r="AD64" s="328"/>
      <c r="AE64" s="328"/>
      <c r="AF64" s="328"/>
      <c r="AG64" s="329"/>
      <c r="AH64" s="320"/>
      <c r="AI64" s="321"/>
      <c r="AJ64" s="321"/>
      <c r="AK64" s="321"/>
      <c r="AL64" s="321"/>
      <c r="AM64" s="321"/>
      <c r="AN64" s="322"/>
    </row>
    <row r="65" spans="1:45" ht="13.5" customHeight="1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69" t="s">
        <v>186</v>
      </c>
      <c r="W65" s="270"/>
      <c r="X65" s="270"/>
      <c r="Y65" s="271"/>
      <c r="Z65" s="278">
        <v>14798.5</v>
      </c>
      <c r="AA65" s="278"/>
      <c r="AB65" s="278"/>
      <c r="AC65" s="278"/>
      <c r="AD65" s="278"/>
      <c r="AE65" s="278"/>
      <c r="AF65" s="278"/>
      <c r="AG65" s="323"/>
      <c r="AH65" s="115"/>
      <c r="AI65" s="116"/>
      <c r="AJ65" s="116"/>
      <c r="AK65" s="116"/>
      <c r="AL65" s="116"/>
      <c r="AM65" s="116"/>
      <c r="AN65" s="120" t="e">
        <f t="array" ref="AN65">-ROUND(SUM(IF((LEFT('[1]март 2020'!$A$3:$A$125,4)="6611"),'[1]март 2020'!$AW$3:$AW$125)),1)</f>
        <v>#REF!</v>
      </c>
      <c r="AP65" s="36">
        <v>6611</v>
      </c>
    </row>
    <row r="66" spans="1:45" ht="17.25" customHeight="1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69" t="s">
        <v>187</v>
      </c>
      <c r="W66" s="270"/>
      <c r="X66" s="270"/>
      <c r="Y66" s="271"/>
      <c r="Z66" s="324">
        <f>SUM(Z56:AG60,Z62:AG65)</f>
        <v>14810.8</v>
      </c>
      <c r="AA66" s="324"/>
      <c r="AB66" s="324"/>
      <c r="AC66" s="324"/>
      <c r="AD66" s="324"/>
      <c r="AE66" s="324"/>
      <c r="AF66" s="324"/>
      <c r="AG66" s="324"/>
      <c r="AH66" s="404" t="e">
        <f>SUM(AH56:AN60,AH62:AN65)</f>
        <v>#REF!</v>
      </c>
      <c r="AI66" s="404"/>
      <c r="AJ66" s="404"/>
      <c r="AK66" s="404"/>
      <c r="AL66" s="404"/>
      <c r="AM66" s="404"/>
      <c r="AN66" s="404"/>
    </row>
    <row r="67" spans="1:45" ht="26.25" customHeight="1">
      <c r="A67" s="315" t="s">
        <v>169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83" t="s">
        <v>188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279"/>
      <c r="AI67" s="279"/>
      <c r="AJ67" s="279"/>
      <c r="AK67" s="279"/>
      <c r="AL67" s="279"/>
      <c r="AM67" s="279"/>
      <c r="AN67" s="279"/>
    </row>
    <row r="68" spans="1:45" ht="17.25" customHeight="1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22738</v>
      </c>
      <c r="AA68" s="319"/>
      <c r="AB68" s="319"/>
      <c r="AC68" s="319"/>
      <c r="AD68" s="319"/>
      <c r="AE68" s="319"/>
      <c r="AF68" s="319"/>
      <c r="AG68" s="319"/>
      <c r="AH68" s="399" t="e">
        <f>SUM(AH66:AN67,AH53,AH54:AN54)</f>
        <v>#REF!</v>
      </c>
      <c r="AI68" s="399"/>
      <c r="AJ68" s="399"/>
      <c r="AK68" s="399"/>
      <c r="AL68" s="399"/>
      <c r="AM68" s="399"/>
      <c r="AN68" s="399"/>
      <c r="AP68" s="40" t="e">
        <f>AH68-AH43</f>
        <v>#REF!</v>
      </c>
      <c r="AR68" s="41" t="e">
        <f>'[1]март 2020'!$AW$129/1000</f>
        <v>#REF!</v>
      </c>
      <c r="AS68" s="40" t="e">
        <f>AH68+AR68</f>
        <v>#REF!</v>
      </c>
    </row>
    <row r="69" spans="1:45" ht="12" customHeight="1">
      <c r="A69" s="106"/>
      <c r="B69" s="106"/>
      <c r="C69" s="106"/>
      <c r="D69" s="106"/>
      <c r="F69" s="106"/>
      <c r="G69" s="106"/>
      <c r="H69" s="106"/>
      <c r="I69" s="106"/>
      <c r="J69" s="106"/>
      <c r="K69" s="106"/>
      <c r="L69" s="5"/>
      <c r="V69" s="106"/>
    </row>
    <row r="70" spans="1:45" ht="14.25" customHeight="1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5" ht="12.75" customHeight="1">
      <c r="A71" s="313" t="s">
        <v>244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5" ht="14.25" customHeight="1">
      <c r="A72" s="27"/>
      <c r="B72" s="27"/>
      <c r="C72" s="27"/>
      <c r="D72" s="27"/>
      <c r="E72" s="28"/>
      <c r="F72" s="27"/>
      <c r="G72" s="29"/>
      <c r="H72" s="118"/>
      <c r="I72" s="118"/>
      <c r="J72" s="118"/>
      <c r="K72" s="11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127"/>
    </row>
    <row r="73" spans="1:45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5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28"/>
    </row>
    <row r="75" spans="1:45" ht="41.25" customHeight="1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5" ht="14.25" customHeight="1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5" ht="27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9" t="s">
        <v>194</v>
      </c>
      <c r="W77" s="249"/>
      <c r="X77" s="249"/>
      <c r="Y77" s="249"/>
      <c r="Z77" s="408">
        <f>ROUND('[2]2дс'!$G$19,1)</f>
        <v>11541838</v>
      </c>
      <c r="AA77" s="408"/>
      <c r="AB77" s="408"/>
      <c r="AC77" s="408"/>
      <c r="AD77" s="408"/>
      <c r="AE77" s="408"/>
      <c r="AF77" s="408"/>
      <c r="AG77" s="408"/>
      <c r="AH77" s="311">
        <v>9028.9</v>
      </c>
      <c r="AI77" s="307"/>
      <c r="AJ77" s="307"/>
      <c r="AK77" s="307"/>
      <c r="AL77" s="307"/>
      <c r="AM77" s="307"/>
      <c r="AN77" s="308"/>
      <c r="AO77" s="65"/>
    </row>
    <row r="78" spans="1:45" ht="14.25" customHeight="1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9" t="s">
        <v>195</v>
      </c>
      <c r="W78" s="249"/>
      <c r="X78" s="249"/>
      <c r="Y78" s="249"/>
      <c r="Z78" s="405"/>
      <c r="AA78" s="406"/>
      <c r="AB78" s="406"/>
      <c r="AC78" s="406"/>
      <c r="AD78" s="406"/>
      <c r="AE78" s="406"/>
      <c r="AF78" s="406"/>
      <c r="AG78" s="407"/>
      <c r="AH78" s="311"/>
      <c r="AI78" s="307"/>
      <c r="AJ78" s="307"/>
      <c r="AK78" s="307"/>
      <c r="AL78" s="307"/>
      <c r="AM78" s="307"/>
      <c r="AN78" s="308"/>
      <c r="AO78" s="65"/>
    </row>
    <row r="79" spans="1:45" ht="14.25" customHeight="1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9" t="s">
        <v>196</v>
      </c>
      <c r="W79" s="249"/>
      <c r="X79" s="249"/>
      <c r="Y79" s="249"/>
      <c r="Z79" s="405">
        <f>ROUND(('[2]2дс'!$G$20+'[2]2дс'!$G$21+'[2]2дс'!$G$22),1)</f>
        <v>2019616.8</v>
      </c>
      <c r="AA79" s="406"/>
      <c r="AB79" s="406"/>
      <c r="AC79" s="406"/>
      <c r="AD79" s="406"/>
      <c r="AE79" s="406"/>
      <c r="AF79" s="406"/>
      <c r="AG79" s="407"/>
      <c r="AH79" s="311">
        <v>34.1</v>
      </c>
      <c r="AI79" s="307"/>
      <c r="AJ79" s="307"/>
      <c r="AK79" s="307"/>
      <c r="AL79" s="307"/>
      <c r="AM79" s="307"/>
      <c r="AN79" s="308"/>
      <c r="AO79" s="65"/>
    </row>
    <row r="80" spans="1:45" ht="16.5" customHeight="1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252" t="s">
        <v>197</v>
      </c>
      <c r="W80" s="252"/>
      <c r="X80" s="252"/>
      <c r="Y80" s="252"/>
      <c r="Z80" s="409">
        <f>SUM(Z77:AG79)</f>
        <v>13561454.800000001</v>
      </c>
      <c r="AA80" s="409"/>
      <c r="AB80" s="409"/>
      <c r="AC80" s="409"/>
      <c r="AD80" s="409"/>
      <c r="AE80" s="409"/>
      <c r="AF80" s="409"/>
      <c r="AG80" s="409"/>
      <c r="AH80" s="299">
        <v>9063</v>
      </c>
      <c r="AI80" s="309"/>
      <c r="AJ80" s="309"/>
      <c r="AK80" s="309"/>
      <c r="AL80" s="309"/>
      <c r="AM80" s="309"/>
      <c r="AN80" s="310"/>
      <c r="AO80" s="66"/>
    </row>
    <row r="81" spans="1:41" ht="14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9" t="s">
        <v>198</v>
      </c>
      <c r="W81" s="249"/>
      <c r="X81" s="249"/>
      <c r="Y81" s="249"/>
      <c r="Z81" s="124" t="s">
        <v>117</v>
      </c>
      <c r="AA81" s="406">
        <f>ROUND('[2]2дс'!$G$36,1)</f>
        <v>2711</v>
      </c>
      <c r="AB81" s="406"/>
      <c r="AC81" s="406"/>
      <c r="AD81" s="406"/>
      <c r="AE81" s="406"/>
      <c r="AF81" s="406"/>
      <c r="AG81" s="122" t="s">
        <v>218</v>
      </c>
      <c r="AH81" s="67" t="s">
        <v>219</v>
      </c>
      <c r="AI81" s="307">
        <v>32.6</v>
      </c>
      <c r="AJ81" s="307"/>
      <c r="AK81" s="307"/>
      <c r="AL81" s="307"/>
      <c r="AM81" s="307"/>
      <c r="AN81" s="120" t="s">
        <v>218</v>
      </c>
      <c r="AO81" s="65"/>
    </row>
    <row r="82" spans="1:41" ht="14.25" customHeight="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9" t="s">
        <v>199</v>
      </c>
      <c r="W82" s="249"/>
      <c r="X82" s="249"/>
      <c r="Y82" s="249"/>
      <c r="Z82" s="124" t="s">
        <v>117</v>
      </c>
      <c r="AA82" s="406">
        <v>343.83</v>
      </c>
      <c r="AB82" s="406"/>
      <c r="AC82" s="406"/>
      <c r="AD82" s="406"/>
      <c r="AE82" s="406"/>
      <c r="AF82" s="406"/>
      <c r="AG82" s="122" t="s">
        <v>218</v>
      </c>
      <c r="AH82" s="67" t="s">
        <v>219</v>
      </c>
      <c r="AI82" s="307">
        <v>264.10000000000002</v>
      </c>
      <c r="AJ82" s="307"/>
      <c r="AK82" s="307"/>
      <c r="AL82" s="307"/>
      <c r="AM82" s="307"/>
      <c r="AN82" s="120" t="s">
        <v>218</v>
      </c>
      <c r="AO82" s="65"/>
    </row>
    <row r="83" spans="1:41" ht="14.25" customHeight="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124" t="s">
        <v>117</v>
      </c>
      <c r="AA83" s="406">
        <f>ROUND(('[2]2дс'!$G$35+'[2]2дс'!$G$43),1)-AA82</f>
        <v>13304616.17</v>
      </c>
      <c r="AB83" s="406"/>
      <c r="AC83" s="406"/>
      <c r="AD83" s="406"/>
      <c r="AE83" s="406"/>
      <c r="AF83" s="406"/>
      <c r="AG83" s="122" t="s">
        <v>218</v>
      </c>
      <c r="AH83" s="67" t="s">
        <v>219</v>
      </c>
      <c r="AI83" s="307">
        <v>10459.699999999999</v>
      </c>
      <c r="AJ83" s="307"/>
      <c r="AK83" s="307"/>
      <c r="AL83" s="307"/>
      <c r="AM83" s="307"/>
      <c r="AN83" s="120" t="s">
        <v>218</v>
      </c>
      <c r="AO83" s="65"/>
    </row>
    <row r="84" spans="1:41" ht="16.5" customHeight="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124" t="s">
        <v>117</v>
      </c>
      <c r="AA84" s="411">
        <f>SUM(AA81:AF83)</f>
        <v>13307671</v>
      </c>
      <c r="AB84" s="411"/>
      <c r="AC84" s="411"/>
      <c r="AD84" s="411"/>
      <c r="AE84" s="411"/>
      <c r="AF84" s="411"/>
      <c r="AG84" s="122" t="s">
        <v>218</v>
      </c>
      <c r="AH84" s="67" t="s">
        <v>219</v>
      </c>
      <c r="AI84" s="302">
        <v>10756.4</v>
      </c>
      <c r="AJ84" s="302"/>
      <c r="AK84" s="302"/>
      <c r="AL84" s="302"/>
      <c r="AM84" s="302"/>
      <c r="AN84" s="120" t="s">
        <v>218</v>
      </c>
      <c r="AO84" s="65"/>
    </row>
    <row r="85" spans="1:41" ht="14.25" customHeight="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408">
        <f>Z80-AA84</f>
        <v>253783.80000000075</v>
      </c>
      <c r="AA85" s="408"/>
      <c r="AB85" s="408"/>
      <c r="AC85" s="408"/>
      <c r="AD85" s="408"/>
      <c r="AE85" s="408"/>
      <c r="AF85" s="408"/>
      <c r="AG85" s="408"/>
      <c r="AH85" s="306">
        <v>-1693.3999999999996</v>
      </c>
      <c r="AI85" s="307"/>
      <c r="AJ85" s="307"/>
      <c r="AK85" s="307"/>
      <c r="AL85" s="307"/>
      <c r="AM85" s="307"/>
      <c r="AN85" s="308"/>
      <c r="AO85" s="65"/>
    </row>
    <row r="86" spans="1:41" ht="14.25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124" t="s">
        <v>117</v>
      </c>
      <c r="AA86" s="406"/>
      <c r="AB86" s="406"/>
      <c r="AC86" s="406"/>
      <c r="AD86" s="406"/>
      <c r="AE86" s="406"/>
      <c r="AF86" s="406"/>
      <c r="AG86" s="122" t="s">
        <v>218</v>
      </c>
      <c r="AH86" s="311" t="s">
        <v>117</v>
      </c>
      <c r="AI86" s="307"/>
      <c r="AJ86" s="307"/>
      <c r="AK86" s="307"/>
      <c r="AL86" s="307"/>
      <c r="AM86" s="307"/>
      <c r="AN86" s="308"/>
      <c r="AO86" s="65"/>
    </row>
    <row r="87" spans="1:41" ht="16.5" customHeight="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410">
        <f>Z85-AA86</f>
        <v>253783.80000000075</v>
      </c>
      <c r="AA87" s="411"/>
      <c r="AB87" s="411"/>
      <c r="AC87" s="411"/>
      <c r="AD87" s="411"/>
      <c r="AE87" s="411"/>
      <c r="AF87" s="411"/>
      <c r="AG87" s="412"/>
      <c r="AH87" s="299">
        <v>-1693.3999999999996</v>
      </c>
      <c r="AI87" s="302"/>
      <c r="AJ87" s="302"/>
      <c r="AK87" s="302"/>
      <c r="AL87" s="302"/>
      <c r="AM87" s="302"/>
      <c r="AN87" s="303"/>
      <c r="AO87" s="65"/>
    </row>
    <row r="88" spans="1:41" ht="4.5" customHeight="1"/>
    <row r="89" spans="1:41" ht="15" customHeight="1">
      <c r="B89" s="247" t="s">
        <v>91</v>
      </c>
      <c r="C89" s="247"/>
      <c r="D89" s="247"/>
      <c r="E89" s="247"/>
      <c r="F89" s="247"/>
      <c r="G89" s="247"/>
      <c r="H89" s="247"/>
      <c r="I89" s="247"/>
      <c r="Q89" s="119"/>
      <c r="R89" s="119"/>
      <c r="S89" s="119"/>
      <c r="T89" s="119"/>
      <c r="U89" s="246"/>
      <c r="V89" s="246"/>
      <c r="W89" s="246"/>
      <c r="X89" s="246"/>
      <c r="AI89" s="243" t="s">
        <v>227</v>
      </c>
      <c r="AJ89" s="243"/>
      <c r="AK89" s="243"/>
      <c r="AL89" s="243"/>
      <c r="AM89" s="243"/>
    </row>
    <row r="90" spans="1:41">
      <c r="Q90" s="119"/>
      <c r="R90" s="119"/>
      <c r="S90" s="119"/>
      <c r="T90" s="119"/>
      <c r="U90" s="294" t="s">
        <v>94</v>
      </c>
      <c r="V90" s="294"/>
      <c r="W90" s="294"/>
      <c r="X90" s="294"/>
      <c r="AI90" s="294" t="s">
        <v>93</v>
      </c>
      <c r="AJ90" s="294"/>
      <c r="AK90" s="294"/>
      <c r="AL90" s="294"/>
      <c r="AM90" s="294"/>
    </row>
    <row r="91" spans="1:41" ht="4.5" customHeight="1">
      <c r="Q91" s="119"/>
      <c r="R91" s="119"/>
      <c r="S91" s="119"/>
      <c r="T91" s="119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119"/>
      <c r="R92" s="119"/>
      <c r="S92" s="119"/>
      <c r="T92" s="119"/>
      <c r="U92" s="246"/>
      <c r="V92" s="246"/>
      <c r="W92" s="246"/>
      <c r="X92" s="246"/>
      <c r="AI92" s="243" t="s">
        <v>228</v>
      </c>
      <c r="AJ92" s="243"/>
      <c r="AK92" s="243"/>
      <c r="AL92" s="243"/>
      <c r="AM92" s="243"/>
    </row>
    <row r="93" spans="1:41">
      <c r="Q93" s="119"/>
      <c r="R93" s="119"/>
      <c r="S93" s="119"/>
      <c r="T93" s="119"/>
      <c r="U93" s="294" t="s">
        <v>94</v>
      </c>
      <c r="V93" s="294"/>
      <c r="W93" s="294"/>
      <c r="X93" s="294"/>
      <c r="AI93" s="294" t="s">
        <v>93</v>
      </c>
      <c r="AJ93" s="294"/>
      <c r="AK93" s="294"/>
      <c r="AL93" s="294"/>
      <c r="AM93" s="294"/>
    </row>
    <row r="94" spans="1:41" ht="7.5" customHeight="1"/>
  </sheetData>
  <mergeCells count="286">
    <mergeCell ref="B92:I92"/>
    <mergeCell ref="U92:X92"/>
    <mergeCell ref="AI92:AM92"/>
    <mergeCell ref="U93:X93"/>
    <mergeCell ref="AI93:AM93"/>
    <mergeCell ref="B89:I89"/>
    <mergeCell ref="U89:X89"/>
    <mergeCell ref="AI89:AM89"/>
    <mergeCell ref="U90:X90"/>
    <mergeCell ref="AI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  <mergeCell ref="A82:U82"/>
    <mergeCell ref="V82:Y82"/>
    <mergeCell ref="AA82:AF82"/>
    <mergeCell ref="AI82:AM82"/>
    <mergeCell ref="A83:U83"/>
    <mergeCell ref="V83:Y83"/>
    <mergeCell ref="AA83:AF83"/>
    <mergeCell ref="AI83:AM83"/>
    <mergeCell ref="A80:U80"/>
    <mergeCell ref="V80:Y80"/>
    <mergeCell ref="Z80:AG80"/>
    <mergeCell ref="AH80:AN80"/>
    <mergeCell ref="A81:U81"/>
    <mergeCell ref="V81:Y81"/>
    <mergeCell ref="AA81:AF81"/>
    <mergeCell ref="AI81:AM81"/>
    <mergeCell ref="A78:U78"/>
    <mergeCell ref="V78:Y78"/>
    <mergeCell ref="Z78:AG78"/>
    <mergeCell ref="AH78:AN78"/>
    <mergeCell ref="A79:U79"/>
    <mergeCell ref="V79:Y79"/>
    <mergeCell ref="Z79:AG79"/>
    <mergeCell ref="AH79:AN79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67:U67"/>
    <mergeCell ref="V67:Y67"/>
    <mergeCell ref="Z67:AG67"/>
    <mergeCell ref="AH67:AN67"/>
    <mergeCell ref="A68:U68"/>
    <mergeCell ref="V68:Y68"/>
    <mergeCell ref="Z68:AG68"/>
    <mergeCell ref="AH68:AN68"/>
    <mergeCell ref="AH64:AN64"/>
    <mergeCell ref="A65:U65"/>
    <mergeCell ref="V65:Y65"/>
    <mergeCell ref="Z65:AG65"/>
    <mergeCell ref="A66:U66"/>
    <mergeCell ref="V66:Y66"/>
    <mergeCell ref="Z66:AG66"/>
    <mergeCell ref="AH66:AN66"/>
    <mergeCell ref="A63:U63"/>
    <mergeCell ref="V63:Y63"/>
    <mergeCell ref="Z63:AG63"/>
    <mergeCell ref="A64:U64"/>
    <mergeCell ref="V64:Y64"/>
    <mergeCell ref="Z64:AG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60:U60"/>
    <mergeCell ref="V60:Y60"/>
    <mergeCell ref="Z60:AG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H52:AN52"/>
    <mergeCell ref="A53:U53"/>
    <mergeCell ref="V53:Y53"/>
    <mergeCell ref="Z53:AG53"/>
    <mergeCell ref="AH53:AN53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47:U47"/>
    <mergeCell ref="V47:Y47"/>
    <mergeCell ref="Z47:AG47"/>
    <mergeCell ref="AH47:AN47"/>
    <mergeCell ref="A48:U48"/>
    <mergeCell ref="V48:Y48"/>
    <mergeCell ref="Z48:AG48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5:U45"/>
    <mergeCell ref="V45:Y45"/>
    <mergeCell ref="Z45:AG45"/>
    <mergeCell ref="AH45:AN45"/>
    <mergeCell ref="A38:U38"/>
    <mergeCell ref="V38:Y38"/>
    <mergeCell ref="Z38:AG38"/>
    <mergeCell ref="A39:U39"/>
    <mergeCell ref="V39:Y39"/>
    <mergeCell ref="Z39:AG39"/>
    <mergeCell ref="AH35:AN35"/>
    <mergeCell ref="A36:U36"/>
    <mergeCell ref="V36:Y36"/>
    <mergeCell ref="Z36:AG36"/>
    <mergeCell ref="A37:U37"/>
    <mergeCell ref="V37:Y37"/>
    <mergeCell ref="Z37:AG37"/>
    <mergeCell ref="AH37:AN37"/>
    <mergeCell ref="AH39:AN39"/>
    <mergeCell ref="A33:U33"/>
    <mergeCell ref="V33:Y33"/>
    <mergeCell ref="A34:U34"/>
    <mergeCell ref="V34:Y34"/>
    <mergeCell ref="Z34:AG34"/>
    <mergeCell ref="A35:U35"/>
    <mergeCell ref="V35:Y35"/>
    <mergeCell ref="Z35:AG35"/>
    <mergeCell ref="A31:U31"/>
    <mergeCell ref="V31:Y31"/>
    <mergeCell ref="Z31:AG31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H22:AN22"/>
    <mergeCell ref="A23:U23"/>
    <mergeCell ref="V23:Y23"/>
    <mergeCell ref="Z23:AG23"/>
    <mergeCell ref="A24:U24"/>
    <mergeCell ref="V24:Y24"/>
    <mergeCell ref="AB24:AD24"/>
    <mergeCell ref="AI24:AM24"/>
    <mergeCell ref="A21:U21"/>
    <mergeCell ref="V21:Y21"/>
    <mergeCell ref="Z21:AG21"/>
    <mergeCell ref="A22:U22"/>
    <mergeCell ref="V22:Y22"/>
    <mergeCell ref="Z22:AG22"/>
    <mergeCell ref="A19:U19"/>
    <mergeCell ref="V19:Y19"/>
    <mergeCell ref="Z19:AG19"/>
    <mergeCell ref="AH19:AN19"/>
    <mergeCell ref="A20:U20"/>
    <mergeCell ref="V20:Y20"/>
    <mergeCell ref="Z20:AG20"/>
    <mergeCell ref="AH20:AN20"/>
    <mergeCell ref="AH15:AN15"/>
    <mergeCell ref="I16:S16"/>
    <mergeCell ref="A18:U18"/>
    <mergeCell ref="V18:Y18"/>
    <mergeCell ref="Z18:AG18"/>
    <mergeCell ref="AH18:AN18"/>
    <mergeCell ref="A11:M11"/>
    <mergeCell ref="N11:Z11"/>
    <mergeCell ref="A12:Z12"/>
    <mergeCell ref="A13:F13"/>
    <mergeCell ref="I15:S15"/>
    <mergeCell ref="T15:Y15"/>
    <mergeCell ref="Z15:AG15"/>
    <mergeCell ref="A9:I9"/>
    <mergeCell ref="J9:Z9"/>
    <mergeCell ref="AB9:AG9"/>
    <mergeCell ref="W1:AN1"/>
    <mergeCell ref="A3:AN3"/>
    <mergeCell ref="A4:AN4"/>
    <mergeCell ref="AI5:AN5"/>
    <mergeCell ref="A6:AF6"/>
    <mergeCell ref="AI6:AK6"/>
    <mergeCell ref="AM6:AN6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V94"/>
  <sheetViews>
    <sheetView showGridLines="0" topLeftCell="A60" workbookViewId="0">
      <selection activeCell="AN21" sqref="AN21"/>
    </sheetView>
  </sheetViews>
  <sheetFormatPr defaultRowHeight="12.75"/>
  <cols>
    <col min="1" max="5" width="2.28515625" style="69" customWidth="1"/>
    <col min="6" max="6" width="2.7109375" style="69" customWidth="1"/>
    <col min="7" max="29" width="2.28515625" style="69" customWidth="1"/>
    <col min="30" max="34" width="2.28515625" style="86" customWidth="1"/>
    <col min="35" max="35" width="4.140625" style="86" customWidth="1"/>
    <col min="36" max="36" width="4.42578125" style="86" customWidth="1"/>
    <col min="37" max="37" width="2.28515625" style="86" hidden="1" customWidth="1"/>
    <col min="38" max="38" width="4.7109375" style="86" customWidth="1"/>
    <col min="39" max="39" width="2" style="86" customWidth="1"/>
    <col min="40" max="40" width="7.140625" style="86" customWidth="1"/>
    <col min="41" max="41" width="9.140625" style="86"/>
    <col min="42" max="42" width="13.28515625" style="86" customWidth="1"/>
    <col min="43" max="43" width="9.140625" style="86"/>
    <col min="44" max="44" width="11.7109375" style="86" customWidth="1"/>
    <col min="45" max="16384" width="9.140625" style="86"/>
  </cols>
  <sheetData>
    <row r="1" spans="1:40" ht="48.75" customHeight="1">
      <c r="W1" s="240" t="s">
        <v>208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</row>
    <row r="2" spans="1:40" ht="23.25" customHeight="1"/>
    <row r="3" spans="1:40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29.25" customHeight="1">
      <c r="A5" s="71"/>
      <c r="B5" s="71"/>
      <c r="C5" s="71"/>
      <c r="D5" s="71"/>
      <c r="E5" s="74"/>
      <c r="G5" s="71"/>
      <c r="H5" s="71"/>
      <c r="L5" s="5"/>
      <c r="AA5" s="74"/>
      <c r="AB5" s="74"/>
      <c r="AC5" s="74"/>
      <c r="AD5" s="74"/>
      <c r="AE5" s="74"/>
      <c r="AF5" s="74"/>
      <c r="AG5" s="74"/>
      <c r="AI5" s="256" t="s">
        <v>1</v>
      </c>
      <c r="AJ5" s="256"/>
      <c r="AK5" s="256"/>
      <c r="AL5" s="256"/>
      <c r="AM5" s="256"/>
      <c r="AN5" s="256"/>
    </row>
    <row r="6" spans="1:40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69"/>
      <c r="AI6" s="257" t="s">
        <v>243</v>
      </c>
      <c r="AJ6" s="258"/>
      <c r="AK6" s="259"/>
      <c r="AL6" s="87" t="s">
        <v>282</v>
      </c>
      <c r="AM6" s="284" t="s">
        <v>77</v>
      </c>
      <c r="AN6" s="284"/>
    </row>
    <row r="7" spans="1:40" ht="31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70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3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74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71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3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70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7.25" customHeight="1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246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70"/>
      <c r="AC11" s="72"/>
      <c r="AD11" s="72"/>
      <c r="AE11" s="72"/>
      <c r="AF11" s="72"/>
    </row>
    <row r="12" spans="1:40" ht="13.5" customHeight="1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70"/>
      <c r="AC12" s="12"/>
      <c r="AD12" s="12"/>
      <c r="AE12" s="69"/>
      <c r="AF12" s="69"/>
    </row>
    <row r="13" spans="1:40" ht="13.5" customHeight="1">
      <c r="A13" s="247" t="s">
        <v>130</v>
      </c>
      <c r="B13" s="247"/>
      <c r="C13" s="247"/>
      <c r="D13" s="247"/>
      <c r="E13" s="247"/>
      <c r="F13" s="247"/>
      <c r="AD13" s="69"/>
      <c r="AE13" s="69"/>
      <c r="AF13" s="69"/>
    </row>
    <row r="14" spans="1:40" ht="30" customHeight="1">
      <c r="C14" s="12"/>
      <c r="D14" s="12"/>
      <c r="E14" s="12"/>
      <c r="F14" s="12"/>
      <c r="L14" s="5"/>
    </row>
    <row r="15" spans="1:40" ht="15" customHeight="1">
      <c r="I15" s="260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 t="s">
        <v>215</v>
      </c>
      <c r="U15" s="260"/>
      <c r="V15" s="260"/>
      <c r="W15" s="260"/>
      <c r="X15" s="260"/>
      <c r="Y15" s="260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 ht="10.5" customHeight="1">
      <c r="I16" s="289" t="s">
        <v>281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46" ht="7.5" customHeight="1">
      <c r="G17" s="15"/>
      <c r="H17" s="15"/>
      <c r="L17" s="5"/>
    </row>
    <row r="18" spans="1:46" ht="27.7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65" t="s">
        <v>170</v>
      </c>
      <c r="W18" s="263"/>
      <c r="X18" s="263"/>
      <c r="Y18" s="264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 ht="15" customHeight="1">
      <c r="A19" s="269">
        <v>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 ht="19.5" customHeight="1">
      <c r="A20" s="355" t="s">
        <v>21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390"/>
      <c r="AI20" s="390"/>
      <c r="AJ20" s="390"/>
      <c r="AK20" s="390"/>
      <c r="AL20" s="390"/>
      <c r="AM20" s="390"/>
      <c r="AN20" s="390"/>
    </row>
    <row r="21" spans="1:46" ht="15" customHeight="1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367">
        <v>127.2</v>
      </c>
      <c r="AA21" s="368">
        <v>127.2</v>
      </c>
      <c r="AB21" s="368">
        <v>127.2</v>
      </c>
      <c r="AC21" s="368">
        <v>127.2</v>
      </c>
      <c r="AD21" s="368">
        <v>127.2</v>
      </c>
      <c r="AE21" s="368">
        <v>127.2</v>
      </c>
      <c r="AF21" s="368">
        <v>127.2</v>
      </c>
      <c r="AG21" s="369">
        <v>127.2</v>
      </c>
      <c r="AH21" s="24"/>
      <c r="AI21" s="34"/>
      <c r="AJ21" s="34"/>
      <c r="AK21" s="34"/>
      <c r="AL21" s="34"/>
      <c r="AM21" s="34"/>
      <c r="AN21" s="35" t="e">
        <f t="array" ref="AN21">ROUND(SUM(IF(LEFT('[1]июнь 2020(2)'!$A$3:$A$145,2)="15",'[1]июнь 2020(2)'!$AV$3:$AV$145))/1000,1)</f>
        <v>#REF!</v>
      </c>
      <c r="AP21" s="93" t="s">
        <v>247</v>
      </c>
    </row>
    <row r="22" spans="1:46" ht="15" customHeight="1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Z23-AB24</f>
        <v>4524.1000000000004</v>
      </c>
      <c r="AA22" s="278"/>
      <c r="AB22" s="278"/>
      <c r="AC22" s="278"/>
      <c r="AD22" s="278"/>
      <c r="AE22" s="278"/>
      <c r="AF22" s="278"/>
      <c r="AG22" s="278"/>
      <c r="AH22" s="387" t="e">
        <f>AN23-AI24</f>
        <v>#REF!</v>
      </c>
      <c r="AI22" s="379"/>
      <c r="AJ22" s="379"/>
      <c r="AK22" s="379"/>
      <c r="AL22" s="379"/>
      <c r="AM22" s="379"/>
      <c r="AN22" s="379"/>
    </row>
    <row r="23" spans="1:46" ht="15" customHeight="1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14034.5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24"/>
      <c r="AI23" s="83"/>
      <c r="AJ23" s="83"/>
      <c r="AK23" s="83"/>
      <c r="AL23" s="83"/>
      <c r="AM23" s="77"/>
      <c r="AN23" s="35" t="e">
        <f t="array" ref="AN23">ROUND(SUM(IF((LEFT('[1]июнь 2020(2)'!$A$3:$A$145,2)="10")+(LEFT('[1]июнь 2020(2)'!$A$3:$A$145,2)="11"),'[1]июнь 2020(2)'!$AV$3:$AV$145))/1000,1)</f>
        <v>#REF!</v>
      </c>
      <c r="AP23" s="93" t="s">
        <v>232</v>
      </c>
      <c r="AQ23" s="93" t="s">
        <v>233</v>
      </c>
    </row>
    <row r="24" spans="1:46" ht="15" customHeight="1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69" t="s">
        <v>219</v>
      </c>
      <c r="AA24" s="83"/>
      <c r="AB24" s="389">
        <v>9510.4</v>
      </c>
      <c r="AC24" s="389"/>
      <c r="AD24" s="389"/>
      <c r="AE24" s="75"/>
      <c r="AF24" s="83" t="s">
        <v>218</v>
      </c>
      <c r="AG24" s="84"/>
      <c r="AH24" s="80" t="s">
        <v>219</v>
      </c>
      <c r="AI24" s="389" t="e">
        <f t="array" ref="AI24">-ROUND(SUM(IF((LEFT('[1]июнь 2020(2)'!$A$3:$A$145,3)="131")+(LEFT('[1]июнь 2020(2)'!$A$3:$A$145,3)="132")+(LEFT('[1]июнь 2020(2)'!$A$3:$A$145,3)="135"),'[1]июнь 2020(2)'!$AW$3:$AW$145))/1000,1)</f>
        <v>#REF!</v>
      </c>
      <c r="AJ24" s="389"/>
      <c r="AK24" s="389"/>
      <c r="AL24" s="389"/>
      <c r="AM24" s="92"/>
      <c r="AN24" s="81" t="s">
        <v>218</v>
      </c>
      <c r="AP24" s="94">
        <v>131</v>
      </c>
      <c r="AQ24" s="94">
        <v>132</v>
      </c>
      <c r="AR24" s="93" t="s">
        <v>248</v>
      </c>
    </row>
    <row r="25" spans="1:46" ht="15" customHeight="1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278"/>
      <c r="AA25" s="278"/>
      <c r="AB25" s="278"/>
      <c r="AC25" s="278"/>
      <c r="AD25" s="278"/>
      <c r="AE25" s="278"/>
      <c r="AF25" s="278"/>
      <c r="AG25" s="278"/>
      <c r="AH25" s="358"/>
      <c r="AI25" s="279"/>
      <c r="AJ25" s="279"/>
      <c r="AK25" s="279"/>
      <c r="AL25" s="279"/>
      <c r="AM25" s="358"/>
      <c r="AN25" s="279"/>
      <c r="AP25" s="88" t="s">
        <v>249</v>
      </c>
      <c r="AQ25" s="88" t="s">
        <v>250</v>
      </c>
      <c r="AR25" s="88" t="s">
        <v>251</v>
      </c>
    </row>
    <row r="26" spans="1:46" ht="15" customHeight="1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</row>
    <row r="27" spans="1:46" ht="15" customHeight="1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</row>
    <row r="28" spans="1:46" ht="19.5" customHeight="1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15" t="s">
        <v>142</v>
      </c>
      <c r="W28" s="316"/>
      <c r="X28" s="316"/>
      <c r="Y28" s="317"/>
      <c r="Z28" s="318">
        <f>Z22+Z25+Z26+Z27+Z21</f>
        <v>4651.3</v>
      </c>
      <c r="AA28" s="319"/>
      <c r="AB28" s="319"/>
      <c r="AC28" s="319"/>
      <c r="AD28" s="319"/>
      <c r="AE28" s="319"/>
      <c r="AF28" s="319"/>
      <c r="AG28" s="319"/>
      <c r="AH28" s="318" t="e">
        <f>AH22+AH25+AH26+AH27+AN21</f>
        <v>#REF!</v>
      </c>
      <c r="AI28" s="319"/>
      <c r="AJ28" s="319"/>
      <c r="AK28" s="319"/>
      <c r="AL28" s="319"/>
      <c r="AM28" s="319"/>
      <c r="AN28" s="319"/>
    </row>
    <row r="29" spans="1:46" ht="19.5" customHeight="1">
      <c r="A29" s="355" t="s">
        <v>31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7"/>
      <c r="V29" s="273"/>
      <c r="W29" s="273"/>
      <c r="X29" s="273"/>
      <c r="Y29" s="273"/>
      <c r="Z29" s="278"/>
      <c r="AA29" s="278"/>
      <c r="AB29" s="278"/>
      <c r="AC29" s="278"/>
      <c r="AD29" s="278"/>
      <c r="AE29" s="278"/>
      <c r="AF29" s="278"/>
      <c r="AG29" s="278"/>
      <c r="AH29" s="370"/>
      <c r="AI29" s="370"/>
      <c r="AJ29" s="370"/>
      <c r="AK29" s="370"/>
      <c r="AL29" s="370"/>
      <c r="AM29" s="370"/>
      <c r="AN29" s="370"/>
    </row>
    <row r="30" spans="1:46" ht="15" customHeight="1">
      <c r="A30" s="304" t="s">
        <v>132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65" t="s">
        <v>143</v>
      </c>
      <c r="W30" s="266"/>
      <c r="X30" s="266"/>
      <c r="Y30" s="267"/>
      <c r="Z30" s="367">
        <v>16804</v>
      </c>
      <c r="AA30" s="368"/>
      <c r="AB30" s="368"/>
      <c r="AC30" s="368"/>
      <c r="AD30" s="368"/>
      <c r="AE30" s="368"/>
      <c r="AF30" s="368"/>
      <c r="AG30" s="369"/>
      <c r="AH30" s="82"/>
      <c r="AI30" s="83"/>
      <c r="AJ30" s="83"/>
      <c r="AK30" s="83"/>
      <c r="AL30" s="83"/>
      <c r="AM30" s="83"/>
      <c r="AN30" s="35" t="e">
        <f t="array" ref="AN30">ROUND(SUM(IF((LEFT('[1]июнь 2020(2)'!$A$3:$A$145,2)="20")+(LEFT('[1]июнь 2020(2)'!$A$3:$A$145,2)="22")+(LEFT('[1]июнь 2020(2)'!$A$3:$A$145,2)="23")-(LEFT('[1]июнь 2020(2)'!$A$3:$A$145,3)="286"),'[1]июнь 2020(2)'!$AV$3:$AV$145))/1000,1)</f>
        <v>#REF!</v>
      </c>
      <c r="AO30" s="88"/>
      <c r="AP30" s="94">
        <v>20</v>
      </c>
      <c r="AQ30" s="94">
        <v>22</v>
      </c>
      <c r="AR30" s="94">
        <v>23</v>
      </c>
      <c r="AS30" s="36">
        <v>-286</v>
      </c>
      <c r="AT30" s="36"/>
    </row>
    <row r="31" spans="1:46" ht="15" customHeight="1">
      <c r="A31" s="325" t="s">
        <v>210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7"/>
      <c r="V31" s="265" t="s">
        <v>144</v>
      </c>
      <c r="W31" s="266"/>
      <c r="X31" s="266"/>
      <c r="Y31" s="267"/>
      <c r="Z31" s="383"/>
      <c r="AA31" s="384"/>
      <c r="AB31" s="384"/>
      <c r="AC31" s="384"/>
      <c r="AD31" s="384"/>
      <c r="AE31" s="384"/>
      <c r="AF31" s="384"/>
      <c r="AG31" s="385"/>
      <c r="AH31" s="331"/>
      <c r="AI31" s="332"/>
      <c r="AJ31" s="332"/>
      <c r="AK31" s="332"/>
      <c r="AL31" s="332"/>
      <c r="AM31" s="332"/>
      <c r="AN31" s="333"/>
    </row>
    <row r="32" spans="1:46" ht="15" customHeight="1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386"/>
      <c r="AA32" s="386"/>
      <c r="AB32" s="386"/>
      <c r="AC32" s="386"/>
      <c r="AD32" s="386"/>
      <c r="AE32" s="386"/>
      <c r="AF32" s="386"/>
      <c r="AG32" s="386"/>
      <c r="AH32" s="370"/>
      <c r="AI32" s="370"/>
      <c r="AJ32" s="370"/>
      <c r="AK32" s="370"/>
      <c r="AL32" s="370"/>
      <c r="AM32" s="370"/>
      <c r="AN32" s="370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42"/>
      <c r="AA33" s="43"/>
      <c r="AB33" s="43"/>
      <c r="AC33" s="43"/>
      <c r="AD33" s="43"/>
      <c r="AE33" s="43"/>
      <c r="AF33" s="43"/>
      <c r="AG33" s="44"/>
      <c r="AH33" s="78"/>
      <c r="AI33" s="79"/>
      <c r="AJ33" s="79"/>
      <c r="AK33" s="79"/>
      <c r="AL33" s="79"/>
      <c r="AM33" s="79"/>
      <c r="AN33" s="38" t="e">
        <f t="array" ref="AN33">ROUND(SUM(IF((LEFT('[1]июнь 2020(2)'!$A$3:$A$145,2)="34")+(LEFT('[1]июнь 2020(2)'!$A$3:$A$145,2)="36"),'[1]июнь 2020(2)'!$AV$3:$AV$145))/1000,1)</f>
        <v>#REF!</v>
      </c>
      <c r="AP33" s="93" t="s">
        <v>252</v>
      </c>
      <c r="AQ33" s="93" t="s">
        <v>253</v>
      </c>
    </row>
    <row r="34" spans="1:48" ht="15" customHeight="1">
      <c r="A34" s="304" t="s">
        <v>36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265" t="s">
        <v>147</v>
      </c>
      <c r="W34" s="266"/>
      <c r="X34" s="266"/>
      <c r="Y34" s="267"/>
      <c r="Z34" s="367">
        <v>12.3</v>
      </c>
      <c r="AA34" s="368"/>
      <c r="AB34" s="368"/>
      <c r="AC34" s="368"/>
      <c r="AD34" s="368"/>
      <c r="AE34" s="368"/>
      <c r="AF34" s="368"/>
      <c r="AG34" s="369"/>
      <c r="AH34" s="82"/>
      <c r="AI34" s="83"/>
      <c r="AJ34" s="83"/>
      <c r="AK34" s="83"/>
      <c r="AL34" s="83"/>
      <c r="AM34" s="83"/>
      <c r="AN34" s="35" t="e">
        <f t="array" ref="AN34">ROUND(SUM(IF((LEFT('[1]июнь 2020(2)'!$A$3:$A$145,3)="378")+(LEFT('[1]июнь 2020(2)'!$A$3:$A$145,3)="641")+(LEFT('[1]июнь 2020(2)'!$A$3:$A$145,3)="642")++(LEFT('[1]июнь 2020(2)'!$A$3:$A$145,3)="651")+(LEFT('[1]июнь 2020(2)'!$A$3:$A$145,3)="652"),'[1]июнь 2020(2)'!$AV$3:$AV$145))/1000,1)</f>
        <v>#REF!</v>
      </c>
      <c r="AO34" s="88"/>
      <c r="AP34" s="93" t="s">
        <v>254</v>
      </c>
      <c r="AQ34" s="93" t="s">
        <v>255</v>
      </c>
      <c r="AR34" s="93" t="s">
        <v>256</v>
      </c>
      <c r="AS34" s="93" t="s">
        <v>257</v>
      </c>
      <c r="AT34" s="93" t="s">
        <v>258</v>
      </c>
    </row>
    <row r="35" spans="1:48" ht="15" customHeight="1">
      <c r="A35" s="325" t="s">
        <v>164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  <c r="V35" s="265" t="s">
        <v>148</v>
      </c>
      <c r="W35" s="266"/>
      <c r="X35" s="266"/>
      <c r="Y35" s="267"/>
      <c r="Z35" s="380"/>
      <c r="AA35" s="381"/>
      <c r="AB35" s="381"/>
      <c r="AC35" s="381"/>
      <c r="AD35" s="381"/>
      <c r="AE35" s="381"/>
      <c r="AF35" s="381"/>
      <c r="AG35" s="382"/>
      <c r="AH35" s="375"/>
      <c r="AI35" s="376"/>
      <c r="AJ35" s="376"/>
      <c r="AK35" s="376"/>
      <c r="AL35" s="376"/>
      <c r="AM35" s="376"/>
      <c r="AN35" s="377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367">
        <v>1259.7</v>
      </c>
      <c r="AA36" s="368"/>
      <c r="AB36" s="368"/>
      <c r="AC36" s="368"/>
      <c r="AD36" s="368"/>
      <c r="AE36" s="368"/>
      <c r="AF36" s="368"/>
      <c r="AG36" s="369"/>
      <c r="AH36" s="82"/>
      <c r="AI36" s="83"/>
      <c r="AJ36" s="83"/>
      <c r="AK36" s="83"/>
      <c r="AL36" s="83"/>
      <c r="AM36" s="83"/>
      <c r="AN36" s="38" t="e">
        <f t="array" ref="AN36">ROUND(SUM(IF((LEFT('[1]июнь 2020(2)'!$A$3:$A$145,2)="37")-(LEFT('[1]июнь 2020(2)'!$A$3:$A$145,3)="378")+(LEFT('[1]июнь 2020(2)'!$A$3:$A$145,2)="66")+(LEFT('[1]июнь 2020(2)'!$A$3:$A$145,2)="68")+(LEFT('[1]июнь 2020(2)'!$A$3:$A$145,3)="653")+(LEFT('[1]июнь 2020(2)'!$A$3:$A$145,2)="654")+(LEFT('[1]июнь 2020(2)'!$A$3:$A$145,5)="644/1"),'[1]июнь 2020(2)'!$AV$3:$AV$145))/1000,1)</f>
        <v>#REF!</v>
      </c>
      <c r="AP36" s="93" t="s">
        <v>259</v>
      </c>
      <c r="AQ36" s="93" t="s">
        <v>260</v>
      </c>
      <c r="AR36" s="93" t="s">
        <v>261</v>
      </c>
      <c r="AS36" s="93" t="s">
        <v>262</v>
      </c>
      <c r="AT36" s="93" t="s">
        <v>263</v>
      </c>
      <c r="AU36" s="93"/>
      <c r="AV36" s="93" t="s">
        <v>285</v>
      </c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378"/>
      <c r="AA37" s="378"/>
      <c r="AB37" s="378"/>
      <c r="AC37" s="378"/>
      <c r="AD37" s="378"/>
      <c r="AE37" s="378"/>
      <c r="AF37" s="378"/>
      <c r="AG37" s="378"/>
      <c r="AH37" s="97"/>
      <c r="AI37" s="98"/>
      <c r="AJ37" s="98"/>
      <c r="AK37" s="98"/>
      <c r="AL37" s="98"/>
      <c r="AM37" s="98"/>
      <c r="AN37" s="99" t="e">
        <f t="array" ref="AN37">ROUND(SUM(IF(LEFT('[1]июнь 2020(2)'!$A$3:$A$145,3)="352",'[1]июнь 2020(2)'!$AV$3:$AV$145))/1000,1)</f>
        <v>#REF!</v>
      </c>
      <c r="AP37" s="93" t="s">
        <v>284</v>
      </c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367">
        <v>10.7</v>
      </c>
      <c r="AA38" s="368"/>
      <c r="AB38" s="368"/>
      <c r="AC38" s="368"/>
      <c r="AD38" s="368"/>
      <c r="AE38" s="368"/>
      <c r="AF38" s="368"/>
      <c r="AG38" s="369"/>
      <c r="AH38" s="82"/>
      <c r="AI38" s="83"/>
      <c r="AJ38" s="83"/>
      <c r="AK38" s="83"/>
      <c r="AL38" s="83"/>
      <c r="AM38" s="83"/>
      <c r="AN38" s="35" t="e">
        <f t="array" ref="AN38">ROUND(SUM(IF((LEFT('[1]июнь 2020(2)'!$A$3:$A$145,2)="30")+(LEFT('[1]июнь 2020(2)'!$A$3:$A$145,2)="31")+(LEFT('[1]июнь 2020(2)'!$A$3:$A$145,3)="333")+((LEFT('[1]июнь 2020(2)'!$A$3:$A$145,3)="334")+(LEFT('[1]июнь 2020(2)'!$A$3:$A$145,3)="335")+(LEFT('[1]июнь 2020(2)'!$A$3:$A$145,3)="351")),'[1]июнь 2020(2)'!$AV$3:$AV$145))/1000,1)</f>
        <v>#REF!</v>
      </c>
      <c r="AP38" s="94">
        <v>30</v>
      </c>
      <c r="AQ38" s="94">
        <v>31</v>
      </c>
      <c r="AR38" s="94">
        <v>333</v>
      </c>
      <c r="AS38" s="93" t="s">
        <v>264</v>
      </c>
      <c r="AT38" s="93" t="s">
        <v>265</v>
      </c>
      <c r="AU38" s="93" t="s">
        <v>266</v>
      </c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358"/>
      <c r="AA39" s="358"/>
      <c r="AB39" s="358"/>
      <c r="AC39" s="358"/>
      <c r="AD39" s="358"/>
      <c r="AE39" s="358"/>
      <c r="AF39" s="358"/>
      <c r="AG39" s="358"/>
      <c r="AH39" s="89"/>
      <c r="AI39" s="90"/>
      <c r="AJ39" s="90"/>
      <c r="AK39" s="90"/>
      <c r="AL39" s="90"/>
      <c r="AM39" s="90"/>
      <c r="AN39" s="35" t="e">
        <f t="array" ref="AN39">ROUND(SUM(IF((LEFT('[1]июнь 2020(2)'!$A$3:$A$145,2)="39"),'[1]июнь 2020(2)'!$AV$3:$AV$145))/1000,1)</f>
        <v>#REF!</v>
      </c>
      <c r="AP39" s="93" t="s">
        <v>269</v>
      </c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279"/>
      <c r="AA40" s="279"/>
      <c r="AB40" s="279"/>
      <c r="AC40" s="279"/>
      <c r="AD40" s="279"/>
      <c r="AE40" s="279"/>
      <c r="AF40" s="279"/>
      <c r="AG40" s="279"/>
      <c r="AH40" s="89"/>
      <c r="AI40" s="90"/>
      <c r="AJ40" s="90"/>
      <c r="AK40" s="90"/>
      <c r="AL40" s="90"/>
      <c r="AM40" s="90"/>
      <c r="AN40" s="35" t="e">
        <f t="array" ref="AN40">ROUND(SUM(IF((LEFT('[1]июнь 2020(2)'!$A$3:$A$145,3)="331")+(LEFT('[1]июнь 2020(2)'!$A$3:$A$145,3)="332"),'[1]июнь 2020(2)'!$AV$3:$AV$145))/1000,1)</f>
        <v>#REF!</v>
      </c>
      <c r="AP40" s="93" t="s">
        <v>267</v>
      </c>
      <c r="AQ40" s="93" t="s">
        <v>268</v>
      </c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364">
        <v>18086.7</v>
      </c>
      <c r="AA41" s="365"/>
      <c r="AB41" s="365"/>
      <c r="AC41" s="365"/>
      <c r="AD41" s="365"/>
      <c r="AE41" s="365"/>
      <c r="AF41" s="365"/>
      <c r="AG41" s="366"/>
      <c r="AH41" s="318" t="e">
        <f>SUM(AN30,AH32:AN34,AH36:AN40)</f>
        <v>#REF!</v>
      </c>
      <c r="AI41" s="318"/>
      <c r="AJ41" s="318"/>
      <c r="AK41" s="318"/>
      <c r="AL41" s="318"/>
      <c r="AM41" s="318"/>
      <c r="AN41" s="413"/>
    </row>
    <row r="42" spans="1:48" ht="28.5" customHeight="1">
      <c r="A42" s="283" t="s">
        <v>207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</row>
    <row r="43" spans="1:48" ht="22.5" customHeight="1">
      <c r="A43" s="372" t="s">
        <v>44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4"/>
      <c r="V43" s="371" t="s">
        <v>156</v>
      </c>
      <c r="W43" s="371"/>
      <c r="X43" s="371"/>
      <c r="Y43" s="371"/>
      <c r="Z43" s="318">
        <f>Z28+Z41+Z42</f>
        <v>22738</v>
      </c>
      <c r="AA43" s="319"/>
      <c r="AB43" s="319"/>
      <c r="AC43" s="319"/>
      <c r="AD43" s="319"/>
      <c r="AE43" s="319"/>
      <c r="AF43" s="319"/>
      <c r="AG43" s="319"/>
      <c r="AH43" s="318" t="e">
        <f>AH28+AH41+AH42</f>
        <v>#REF!</v>
      </c>
      <c r="AI43" s="319"/>
      <c r="AJ43" s="319"/>
      <c r="AK43" s="319"/>
      <c r="AL43" s="319"/>
      <c r="AM43" s="319"/>
      <c r="AN43" s="319"/>
      <c r="AP43" s="40" t="e">
        <f>AH43+AR68</f>
        <v>#REF!</v>
      </c>
    </row>
    <row r="44" spans="1:48" ht="4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76"/>
      <c r="AI44" s="76"/>
      <c r="AJ44" s="76"/>
      <c r="AK44" s="76"/>
      <c r="AL44" s="76"/>
      <c r="AM44" s="76"/>
      <c r="AN44" s="76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69">
        <v>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81">
        <v>2</v>
      </c>
      <c r="W46" s="281"/>
      <c r="X46" s="281"/>
      <c r="Y46" s="281"/>
      <c r="Z46" s="253">
        <v>3</v>
      </c>
      <c r="AA46" s="254"/>
      <c r="AB46" s="254"/>
      <c r="AC46" s="254"/>
      <c r="AD46" s="254"/>
      <c r="AE46" s="254"/>
      <c r="AF46" s="254"/>
      <c r="AG46" s="255"/>
      <c r="AH46" s="253">
        <v>4</v>
      </c>
      <c r="AI46" s="254"/>
      <c r="AJ46" s="254"/>
      <c r="AK46" s="254"/>
      <c r="AL46" s="254"/>
      <c r="AM46" s="254"/>
      <c r="AN46" s="255"/>
    </row>
    <row r="47" spans="1:48" ht="19.5" customHeight="1">
      <c r="A47" s="355" t="s">
        <v>46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7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370"/>
      <c r="AI47" s="370"/>
      <c r="AJ47" s="370"/>
      <c r="AK47" s="370"/>
      <c r="AL47" s="370"/>
      <c r="AM47" s="370"/>
      <c r="AN47" s="370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367">
        <v>5934.6</v>
      </c>
      <c r="AA48" s="368"/>
      <c r="AB48" s="368"/>
      <c r="AC48" s="368"/>
      <c r="AD48" s="368"/>
      <c r="AE48" s="368"/>
      <c r="AF48" s="368"/>
      <c r="AG48" s="369"/>
      <c r="AH48" s="82"/>
      <c r="AI48" s="83"/>
      <c r="AJ48" s="83"/>
      <c r="AK48" s="83"/>
      <c r="AL48" s="83"/>
      <c r="AM48" s="83"/>
      <c r="AN48" s="35" t="e">
        <f t="array" ref="AN48">-ROUND(SUM(IF(LEFT('[1]июнь 2020(2)'!$A$3:$A$145,2)="40",'[1]июнь 2020(2)'!$AW$3:$AW$145))/1000,1)</f>
        <v>#REF!</v>
      </c>
      <c r="AP48" s="94">
        <v>40</v>
      </c>
    </row>
    <row r="49" spans="1:44" ht="13.5" customHeight="1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97"/>
      <c r="AI49" s="98"/>
      <c r="AJ49" s="98"/>
      <c r="AK49" s="98"/>
      <c r="AL49" s="98"/>
      <c r="AM49" s="98"/>
      <c r="AN49" s="99" t="e">
        <f t="array" ref="AN49">-ROUND(SUM(IF((LEFT('[1]июнь 2020(2)'!$A$3:$A$145,2)="41"),'[1]июнь 2020(2)'!$AW$3:$AW$145))/1000,1)-ROUND(SUM(IF((LEFT('[1]июнь 2020(2)'!$A$3:$A$145,2)="42"),'[1]июнь 2020(2)'!$AW$3:$AW$145))/1000,1)</f>
        <v>#REF!</v>
      </c>
      <c r="AP49" s="88" t="s">
        <v>270</v>
      </c>
      <c r="AQ49" s="88" t="s">
        <v>271</v>
      </c>
    </row>
    <row r="50" spans="1:44" ht="13.5" customHeight="1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89"/>
      <c r="AI50" s="90"/>
      <c r="AJ50" s="90"/>
      <c r="AK50" s="90"/>
      <c r="AL50" s="90"/>
      <c r="AM50" s="90"/>
      <c r="AN50" s="91" t="e">
        <f t="array" ref="AN50">-ROUND(SUM(IF(LEFT('[1]июнь 2020(2)'!$A$3:$A$145,2)="43",'[1]июнь 2020(2)'!$AW$3:$AW$145))/1000,1)</f>
        <v>#REF!</v>
      </c>
      <c r="AP50" s="88" t="s">
        <v>272</v>
      </c>
    </row>
    <row r="51" spans="1:44" ht="13.5" customHeight="1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367">
        <v>1865.4</v>
      </c>
      <c r="AA51" s="368"/>
      <c r="AB51" s="368"/>
      <c r="AC51" s="368"/>
      <c r="AD51" s="368"/>
      <c r="AE51" s="368"/>
      <c r="AF51" s="368"/>
      <c r="AG51" s="369"/>
      <c r="AH51" s="82"/>
      <c r="AI51" s="83"/>
      <c r="AJ51" s="83"/>
      <c r="AK51" s="83"/>
      <c r="AL51" s="83"/>
      <c r="AM51" s="83"/>
      <c r="AN51" s="35" t="e">
        <f t="array" ref="AN51">-ROUND(SUM(IF((LEFT('[1]июнь 2020(2)'!$A$3:$A$145,3)="791"),'[1]июнь 2020(2)'!$AW$3:$AW$145))/1000,1)-ROUND(SUM(IF((LEFT('[1]июнь 2020(2)'!$A$3:$A$145,3)="441"),'[1]июнь 2020(2)'!$AW$3:$AW$145))/1000,1)</f>
        <v>#REF!</v>
      </c>
      <c r="AP51" s="36">
        <v>441</v>
      </c>
      <c r="AQ51" s="36"/>
    </row>
    <row r="52" spans="1:44" ht="13.5" customHeight="1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253" t="s">
        <v>117</v>
      </c>
      <c r="AA52" s="254"/>
      <c r="AB52" s="254"/>
      <c r="AC52" s="254"/>
      <c r="AD52" s="254"/>
      <c r="AE52" s="254"/>
      <c r="AF52" s="254"/>
      <c r="AG52" s="255"/>
      <c r="AH52" s="359" t="s">
        <v>118</v>
      </c>
      <c r="AI52" s="360"/>
      <c r="AJ52" s="360"/>
      <c r="AK52" s="360"/>
      <c r="AL52" s="360"/>
      <c r="AM52" s="360"/>
      <c r="AN52" s="361"/>
    </row>
    <row r="53" spans="1:44" ht="19.5" customHeight="1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62">
        <f>SUM(Z48:AG52)</f>
        <v>7800</v>
      </c>
      <c r="AA53" s="363"/>
      <c r="AB53" s="363"/>
      <c r="AC53" s="363"/>
      <c r="AD53" s="363"/>
      <c r="AE53" s="363"/>
      <c r="AF53" s="363"/>
      <c r="AG53" s="363"/>
      <c r="AH53" s="363" t="e">
        <f>SUM(AH48:AN52)</f>
        <v>#REF!</v>
      </c>
      <c r="AI53" s="363"/>
      <c r="AJ53" s="363"/>
      <c r="AK53" s="363"/>
      <c r="AL53" s="363"/>
      <c r="AM53" s="363"/>
      <c r="AN53" s="363"/>
    </row>
    <row r="54" spans="1:44" ht="27" customHeight="1">
      <c r="A54" s="315" t="s">
        <v>158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  <c r="V54" s="283" t="s">
        <v>177</v>
      </c>
      <c r="W54" s="283"/>
      <c r="X54" s="283"/>
      <c r="Y54" s="283"/>
      <c r="Z54" s="364">
        <v>127.2</v>
      </c>
      <c r="AA54" s="365"/>
      <c r="AB54" s="365"/>
      <c r="AC54" s="365"/>
      <c r="AD54" s="365"/>
      <c r="AE54" s="365"/>
      <c r="AF54" s="365"/>
      <c r="AG54" s="366"/>
      <c r="AH54" s="62"/>
      <c r="AI54" s="37"/>
      <c r="AJ54" s="37"/>
      <c r="AK54" s="37"/>
      <c r="AL54" s="37"/>
      <c r="AM54" s="37"/>
      <c r="AN54" s="39" t="e">
        <f t="array" ref="AN54">-ROUND(SUM(IF((LEFT('[1]июнь 2020(2)'!$A$3:$A$145,2)="48")+(LEFT('[1]июнь 2020(2)'!$A$3:$A$145,2)="47")+(LEFT('[1]июнь 2020(2)'!$A$3:$A$145,2)="50")+(LEFT('[1]июнь 2020(2)'!$A$3:$A$145,2)="51")+(LEFT('[1]июнь 2020(2)'!$A$3:$A$145,2)="52")+(LEFT('[1]июнь 2020(2)'!$A$3:$A$145,2)="53")+(LEFT('[1]июнь 2020(2)'!$A$3:$A$145,2)="54")+(LEFT('[1]июнь 2020(2)'!$A$3:$A$145,2)="55"),'[1]июнь 2020(2)'!$AW$3:$AW$145))/1000,1)</f>
        <v>#REF!</v>
      </c>
      <c r="AP54" s="36">
        <v>47</v>
      </c>
      <c r="AQ54" s="88" t="s">
        <v>273</v>
      </c>
      <c r="AR54" s="88" t="s">
        <v>274</v>
      </c>
    </row>
    <row r="55" spans="1:44" ht="18" customHeight="1">
      <c r="A55" s="355" t="s">
        <v>159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7"/>
      <c r="V55" s="283"/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358"/>
      <c r="AI55" s="358"/>
      <c r="AJ55" s="358"/>
      <c r="AK55" s="358"/>
      <c r="AL55" s="358"/>
      <c r="AM55" s="358"/>
      <c r="AN55" s="358"/>
    </row>
    <row r="56" spans="1:44" ht="13.5" customHeight="1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69" t="s">
        <v>178</v>
      </c>
      <c r="W56" s="270"/>
      <c r="X56" s="270"/>
      <c r="Y56" s="27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</row>
    <row r="57" spans="1:44" ht="13.5" customHeight="1">
      <c r="A57" s="338" t="s">
        <v>160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1"/>
      <c r="W57" s="342"/>
      <c r="X57" s="342"/>
      <c r="Y57" s="343"/>
      <c r="Z57" s="344"/>
      <c r="AA57" s="345"/>
      <c r="AB57" s="345"/>
      <c r="AC57" s="345"/>
      <c r="AD57" s="345"/>
      <c r="AE57" s="345"/>
      <c r="AF57" s="345"/>
      <c r="AG57" s="346"/>
      <c r="AH57" s="335"/>
      <c r="AI57" s="336"/>
      <c r="AJ57" s="336"/>
      <c r="AK57" s="336"/>
      <c r="AL57" s="336"/>
      <c r="AM57" s="336"/>
      <c r="AN57" s="337"/>
    </row>
    <row r="58" spans="1:44" ht="13.5" customHeight="1">
      <c r="A58" s="347" t="s">
        <v>161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350" t="s">
        <v>179</v>
      </c>
      <c r="W58" s="291"/>
      <c r="X58" s="291"/>
      <c r="Y58" s="351"/>
      <c r="Z58" s="352"/>
      <c r="AA58" s="353"/>
      <c r="AB58" s="353"/>
      <c r="AC58" s="353"/>
      <c r="AD58" s="353"/>
      <c r="AE58" s="353"/>
      <c r="AF58" s="353"/>
      <c r="AG58" s="354"/>
      <c r="AH58" s="331"/>
      <c r="AI58" s="332"/>
      <c r="AJ58" s="332"/>
      <c r="AK58" s="332"/>
      <c r="AL58" s="332"/>
      <c r="AM58" s="332"/>
      <c r="AN58" s="333"/>
    </row>
    <row r="59" spans="1:44" ht="13.5" customHeight="1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69" t="s">
        <v>180</v>
      </c>
      <c r="W59" s="270"/>
      <c r="X59" s="270"/>
      <c r="Y59" s="271"/>
      <c r="Z59" s="278"/>
      <c r="AA59" s="278"/>
      <c r="AB59" s="278"/>
      <c r="AC59" s="278"/>
      <c r="AD59" s="278"/>
      <c r="AE59" s="278"/>
      <c r="AF59" s="278"/>
      <c r="AG59" s="278"/>
      <c r="AH59" s="82"/>
      <c r="AI59" s="83"/>
      <c r="AJ59" s="83"/>
      <c r="AK59" s="83"/>
      <c r="AL59" s="83"/>
      <c r="AM59" s="83"/>
      <c r="AN59" s="35" t="e">
        <f t="array" ref="AN59">-ROUND(SUM(IF(LEFT('[1]июнь 2020(2)'!$A$3:$A$145,2)="63",'[1]июнь 2020(2)'!$AW$3:$AW$145))/1000,1)-ROUND(SUM(IF(LEFT('[1]июнь 2020(2)'!$A$3:$A$145,3)="62",'[1]июнь 2020(2)'!$AW$3:$AW$145))/1000,1)</f>
        <v>#REF!</v>
      </c>
      <c r="AP59" s="88" t="s">
        <v>275</v>
      </c>
      <c r="AQ59" s="88" t="s">
        <v>276</v>
      </c>
    </row>
    <row r="60" spans="1:44" ht="13.5" customHeight="1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69" t="s">
        <v>181</v>
      </c>
      <c r="W60" s="270"/>
      <c r="X60" s="270"/>
      <c r="Y60" s="271"/>
      <c r="Z60" s="278">
        <v>2.4</v>
      </c>
      <c r="AA60" s="278"/>
      <c r="AB60" s="278"/>
      <c r="AC60" s="278"/>
      <c r="AD60" s="278"/>
      <c r="AE60" s="278"/>
      <c r="AF60" s="278"/>
      <c r="AG60" s="323"/>
      <c r="AH60" s="82"/>
      <c r="AI60" s="83"/>
      <c r="AJ60" s="83"/>
      <c r="AK60" s="83"/>
      <c r="AL60" s="83"/>
      <c r="AM60" s="83"/>
      <c r="AN60" s="35" t="e">
        <f t="array" ref="AN60">-ROUND(SUM(IF((LEFT('[1]июнь 2020(2)'!$A$3:$A$145,3)="641")+(LEFT('[1]июнь 2020(2)'!$A$3:$A$145,3)="642"),'[1]июнь 2020(2)'!$AW$3:$AW$145))/1000,1)</f>
        <v>#REF!</v>
      </c>
      <c r="AP60" s="36">
        <v>641</v>
      </c>
      <c r="AQ60" s="36">
        <v>642</v>
      </c>
    </row>
    <row r="61" spans="1:44" ht="13.5" customHeight="1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69" t="s">
        <v>182</v>
      </c>
      <c r="W61" s="270"/>
      <c r="X61" s="270"/>
      <c r="Y61" s="271"/>
      <c r="Z61" s="278"/>
      <c r="AA61" s="278"/>
      <c r="AB61" s="278"/>
      <c r="AC61" s="278"/>
      <c r="AD61" s="278"/>
      <c r="AE61" s="278"/>
      <c r="AF61" s="278"/>
      <c r="AG61" s="278"/>
      <c r="AH61" s="331"/>
      <c r="AI61" s="332"/>
      <c r="AJ61" s="332"/>
      <c r="AK61" s="332"/>
      <c r="AL61" s="332"/>
      <c r="AM61" s="332"/>
      <c r="AN61" s="333"/>
    </row>
    <row r="62" spans="1:44" ht="13.5" customHeight="1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69" t="s">
        <v>183</v>
      </c>
      <c r="W62" s="270"/>
      <c r="X62" s="270"/>
      <c r="Y62" s="271"/>
      <c r="Z62" s="278"/>
      <c r="AA62" s="278"/>
      <c r="AB62" s="278"/>
      <c r="AC62" s="278"/>
      <c r="AD62" s="278"/>
      <c r="AE62" s="278"/>
      <c r="AF62" s="278"/>
      <c r="AG62" s="278"/>
      <c r="AH62" s="335"/>
      <c r="AI62" s="336"/>
      <c r="AJ62" s="336"/>
      <c r="AK62" s="336"/>
      <c r="AL62" s="336"/>
      <c r="AM62" s="336"/>
      <c r="AN62" s="337"/>
    </row>
    <row r="63" spans="1:44" ht="13.5" customHeight="1">
      <c r="A63" s="325" t="s">
        <v>166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7"/>
      <c r="V63" s="269" t="s">
        <v>184</v>
      </c>
      <c r="W63" s="270"/>
      <c r="X63" s="270"/>
      <c r="Y63" s="271"/>
      <c r="Z63" s="323">
        <v>9.9</v>
      </c>
      <c r="AA63" s="328"/>
      <c r="AB63" s="328"/>
      <c r="AC63" s="328"/>
      <c r="AD63" s="328"/>
      <c r="AE63" s="328"/>
      <c r="AF63" s="328"/>
      <c r="AG63" s="328"/>
      <c r="AH63" s="82"/>
      <c r="AI63" s="83"/>
      <c r="AJ63" s="83"/>
      <c r="AK63" s="83"/>
      <c r="AL63" s="83"/>
      <c r="AM63" s="83"/>
      <c r="AN63" s="35" t="e">
        <f t="array" ref="AN63">-ROUND(SUM(IF(LEFT('[1]июнь 2020(2)'!$A$3:$A$145,2)="66",'[1]июнь 2020(2)'!$AW$3:$AW$145))/1000,1)</f>
        <v>#REF!</v>
      </c>
      <c r="AP63" s="36">
        <v>661</v>
      </c>
    </row>
    <row r="64" spans="1:44" ht="13.5" customHeight="1">
      <c r="A64" s="304" t="s">
        <v>167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269" t="s">
        <v>185</v>
      </c>
      <c r="W64" s="270"/>
      <c r="X64" s="270"/>
      <c r="Y64" s="271"/>
      <c r="Z64" s="323"/>
      <c r="AA64" s="328"/>
      <c r="AB64" s="328"/>
      <c r="AC64" s="328"/>
      <c r="AD64" s="328"/>
      <c r="AE64" s="328"/>
      <c r="AF64" s="328"/>
      <c r="AG64" s="329"/>
      <c r="AH64" s="320"/>
      <c r="AI64" s="321"/>
      <c r="AJ64" s="321"/>
      <c r="AK64" s="321"/>
      <c r="AL64" s="321"/>
      <c r="AM64" s="321"/>
      <c r="AN64" s="322"/>
    </row>
    <row r="65" spans="1:46" ht="13.5" customHeight="1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69" t="s">
        <v>186</v>
      </c>
      <c r="W65" s="270"/>
      <c r="X65" s="270"/>
      <c r="Y65" s="271"/>
      <c r="Z65" s="278">
        <v>14798.5</v>
      </c>
      <c r="AA65" s="278"/>
      <c r="AB65" s="278"/>
      <c r="AC65" s="278"/>
      <c r="AD65" s="278"/>
      <c r="AE65" s="278"/>
      <c r="AF65" s="278"/>
      <c r="AG65" s="323"/>
      <c r="AH65" s="82"/>
      <c r="AI65" s="83"/>
      <c r="AJ65" s="83"/>
      <c r="AK65" s="83"/>
      <c r="AL65" s="83"/>
      <c r="AM65" s="83"/>
      <c r="AN65" s="35" t="e">
        <f t="array" ref="AN65">-ROUND(SUM(IF((LEFT('[1]июнь 2020(2)'!$A$3:$A$145,3)="372")+(LEFT('[1]июнь 2020(2)'!$A$3:$A$145,3)="378")+(LEFT('[1]июнь 2020(2)'!$A$3:$A$145,3)="644")+(LEFT('[1]июнь 2020(2)'!$A$3:$A$145,2)="67")+(LEFT('[1]июнь 2020(2)'!$A$3:$A$145,2)="68")-(LEFT('[1]июнь 2020(2)'!$A$3:$A$145,3)="684"),'[1]июнь 2020(2)'!$AW$3:$AW$145))/1000,1)</f>
        <v>#REF!</v>
      </c>
      <c r="AP65" s="36">
        <v>372</v>
      </c>
      <c r="AQ65" s="88" t="s">
        <v>254</v>
      </c>
      <c r="AR65" s="88" t="s">
        <v>277</v>
      </c>
      <c r="AS65" s="88" t="s">
        <v>278</v>
      </c>
      <c r="AT65" s="88" t="s">
        <v>279</v>
      </c>
    </row>
    <row r="66" spans="1:46" ht="17.25" customHeight="1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69" t="s">
        <v>187</v>
      </c>
      <c r="W66" s="270"/>
      <c r="X66" s="270"/>
      <c r="Y66" s="271"/>
      <c r="Z66" s="324">
        <f>SUM(Z56:AG60,Z62:AG65)</f>
        <v>14810.8</v>
      </c>
      <c r="AA66" s="324"/>
      <c r="AB66" s="324"/>
      <c r="AC66" s="324"/>
      <c r="AD66" s="324"/>
      <c r="AE66" s="324"/>
      <c r="AF66" s="324"/>
      <c r="AG66" s="324"/>
      <c r="AH66" s="324" t="e">
        <f>SUM(AH56:AN60,AH62:AN65)</f>
        <v>#REF!</v>
      </c>
      <c r="AI66" s="324"/>
      <c r="AJ66" s="324"/>
      <c r="AK66" s="324"/>
      <c r="AL66" s="324"/>
      <c r="AM66" s="324"/>
      <c r="AN66" s="324"/>
    </row>
    <row r="67" spans="1:46" ht="26.25" customHeight="1">
      <c r="A67" s="315" t="s">
        <v>169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83" t="s">
        <v>188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89"/>
      <c r="AI67" s="90"/>
      <c r="AJ67" s="90"/>
      <c r="AK67" s="90"/>
      <c r="AL67" s="90"/>
      <c r="AM67" s="90"/>
      <c r="AN67" s="91" t="e">
        <f t="array" ref="AN67">-ROUND(SUM(IF(LEFT('[1]июнь 2020(2)'!$A$3:$A$145,3)="680",'[1]июнь 2020(2)'!$AW$3:$AW$145))/1000,1)</f>
        <v>#REF!</v>
      </c>
      <c r="AP67" s="88" t="s">
        <v>280</v>
      </c>
    </row>
    <row r="68" spans="1:46" ht="17.25" customHeight="1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22738</v>
      </c>
      <c r="AA68" s="319"/>
      <c r="AB68" s="319"/>
      <c r="AC68" s="319"/>
      <c r="AD68" s="319"/>
      <c r="AE68" s="319"/>
      <c r="AF68" s="319"/>
      <c r="AG68" s="319"/>
      <c r="AH68" s="318" t="e">
        <f>SUM(AH66:AN67,AH53,AH54:AN54)</f>
        <v>#REF!</v>
      </c>
      <c r="AI68" s="319"/>
      <c r="AJ68" s="319"/>
      <c r="AK68" s="319"/>
      <c r="AL68" s="319"/>
      <c r="AM68" s="319"/>
      <c r="AN68" s="319"/>
      <c r="AP68" s="40" t="e">
        <f>AH68-AH43</f>
        <v>#REF!</v>
      </c>
      <c r="AR68" s="100" t="e">
        <f>'[1]июнь 2020(2)'!$AW$144/1000</f>
        <v>#REF!</v>
      </c>
      <c r="AS68" s="40" t="e">
        <f>AH68+AR68</f>
        <v>#REF!</v>
      </c>
    </row>
    <row r="69" spans="1:46" ht="12" customHeight="1">
      <c r="A69" s="73"/>
      <c r="B69" s="73"/>
      <c r="C69" s="73"/>
      <c r="D69" s="73"/>
      <c r="F69" s="73"/>
      <c r="G69" s="73"/>
      <c r="H69" s="73"/>
      <c r="I69" s="73"/>
      <c r="J69" s="73"/>
      <c r="K69" s="73"/>
      <c r="L69" s="5"/>
      <c r="V69" s="73"/>
    </row>
    <row r="70" spans="1:46" ht="14.25" customHeight="1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6" ht="12.75" customHeight="1">
      <c r="A71" s="313" t="s">
        <v>286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6" ht="14.25" customHeight="1">
      <c r="A72" s="27"/>
      <c r="B72" s="27"/>
      <c r="C72" s="27"/>
      <c r="D72" s="27"/>
      <c r="E72" s="28"/>
      <c r="F72" s="27"/>
      <c r="G72" s="29"/>
      <c r="H72" s="85"/>
      <c r="I72" s="85"/>
      <c r="J72" s="85"/>
      <c r="K72" s="8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6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6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</row>
    <row r="75" spans="1:46" ht="41.25" customHeight="1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6" ht="14.25" customHeight="1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6" ht="27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9" t="s">
        <v>194</v>
      </c>
      <c r="W77" s="249"/>
      <c r="X77" s="249"/>
      <c r="Y77" s="249"/>
      <c r="Z77" s="272">
        <f>ROUND('[3]2дс'!$G$19/1000,1)</f>
        <v>20456.8</v>
      </c>
      <c r="AA77" s="272"/>
      <c r="AB77" s="272"/>
      <c r="AC77" s="272"/>
      <c r="AD77" s="272"/>
      <c r="AE77" s="272"/>
      <c r="AF77" s="272"/>
      <c r="AG77" s="272"/>
      <c r="AH77" s="311">
        <v>19922.3</v>
      </c>
      <c r="AI77" s="307"/>
      <c r="AJ77" s="307"/>
      <c r="AK77" s="307"/>
      <c r="AL77" s="307"/>
      <c r="AM77" s="307"/>
      <c r="AN77" s="308"/>
      <c r="AO77" s="65"/>
    </row>
    <row r="78" spans="1:46" ht="14.25" customHeight="1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9" t="s">
        <v>195</v>
      </c>
      <c r="W78" s="249"/>
      <c r="X78" s="249"/>
      <c r="Y78" s="249"/>
      <c r="Z78" s="253"/>
      <c r="AA78" s="254"/>
      <c r="AB78" s="254"/>
      <c r="AC78" s="254"/>
      <c r="AD78" s="254"/>
      <c r="AE78" s="254"/>
      <c r="AF78" s="254"/>
      <c r="AG78" s="255"/>
      <c r="AH78" s="311">
        <v>0</v>
      </c>
      <c r="AI78" s="307"/>
      <c r="AJ78" s="307"/>
      <c r="AK78" s="307"/>
      <c r="AL78" s="307"/>
      <c r="AM78" s="307"/>
      <c r="AN78" s="308"/>
      <c r="AO78" s="65"/>
    </row>
    <row r="79" spans="1:46" ht="14.25" customHeight="1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9" t="s">
        <v>196</v>
      </c>
      <c r="W79" s="249"/>
      <c r="X79" s="249"/>
      <c r="Y79" s="249"/>
      <c r="Z79" s="253">
        <f>ROUND(('[3]2дс'!$G$20+'[3]2дс'!$G$21+'[3]2дс'!$G$22)/1000,1)</f>
        <v>392.7</v>
      </c>
      <c r="AA79" s="254"/>
      <c r="AB79" s="254"/>
      <c r="AC79" s="254"/>
      <c r="AD79" s="254"/>
      <c r="AE79" s="254"/>
      <c r="AF79" s="254"/>
      <c r="AG79" s="255"/>
      <c r="AH79" s="311">
        <v>3314.7000000000003</v>
      </c>
      <c r="AI79" s="307"/>
      <c r="AJ79" s="307"/>
      <c r="AK79" s="307"/>
      <c r="AL79" s="307"/>
      <c r="AM79" s="307"/>
      <c r="AN79" s="308"/>
      <c r="AO79" s="65"/>
    </row>
    <row r="80" spans="1:46" ht="16.5" customHeight="1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252" t="s">
        <v>197</v>
      </c>
      <c r="W80" s="252"/>
      <c r="X80" s="252"/>
      <c r="Y80" s="252"/>
      <c r="Z80" s="312">
        <f>SUM(Z77:AG79)</f>
        <v>20849.5</v>
      </c>
      <c r="AA80" s="312"/>
      <c r="AB80" s="312"/>
      <c r="AC80" s="312"/>
      <c r="AD80" s="312"/>
      <c r="AE80" s="312"/>
      <c r="AF80" s="312"/>
      <c r="AG80" s="312"/>
      <c r="AH80" s="299">
        <v>23237</v>
      </c>
      <c r="AI80" s="309"/>
      <c r="AJ80" s="309"/>
      <c r="AK80" s="309"/>
      <c r="AL80" s="309"/>
      <c r="AM80" s="309"/>
      <c r="AN80" s="310"/>
      <c r="AO80" s="66"/>
    </row>
    <row r="81" spans="1:41" ht="14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9" t="s">
        <v>198</v>
      </c>
      <c r="W81" s="249"/>
      <c r="X81" s="249"/>
      <c r="Y81" s="249"/>
      <c r="Z81" s="82" t="s">
        <v>117</v>
      </c>
      <c r="AA81" s="254">
        <f>241.4+2.7</f>
        <v>244.1</v>
      </c>
      <c r="AB81" s="254"/>
      <c r="AC81" s="254"/>
      <c r="AD81" s="254"/>
      <c r="AE81" s="254"/>
      <c r="AF81" s="254"/>
      <c r="AG81" s="83" t="s">
        <v>218</v>
      </c>
      <c r="AH81" s="67" t="s">
        <v>117</v>
      </c>
      <c r="AI81" s="307">
        <v>33.700000000000003</v>
      </c>
      <c r="AJ81" s="307"/>
      <c r="AK81" s="307"/>
      <c r="AL81" s="307"/>
      <c r="AM81" s="307"/>
      <c r="AN81" s="95" t="s">
        <v>218</v>
      </c>
    </row>
    <row r="82" spans="1:41" ht="14.25" customHeight="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9" t="s">
        <v>199</v>
      </c>
      <c r="W82" s="249"/>
      <c r="X82" s="249"/>
      <c r="Y82" s="249"/>
      <c r="Z82" s="82" t="s">
        <v>117</v>
      </c>
      <c r="AA82" s="414">
        <f>343.8+337.8+486.8</f>
        <v>1168.4000000000001</v>
      </c>
      <c r="AB82" s="414"/>
      <c r="AC82" s="414"/>
      <c r="AD82" s="414"/>
      <c r="AE82" s="414"/>
      <c r="AF82" s="414"/>
      <c r="AG82" s="83" t="s">
        <v>218</v>
      </c>
      <c r="AH82" s="67" t="s">
        <v>117</v>
      </c>
      <c r="AI82" s="307">
        <v>338.2</v>
      </c>
      <c r="AJ82" s="307"/>
      <c r="AK82" s="307"/>
      <c r="AL82" s="307"/>
      <c r="AM82" s="307"/>
      <c r="AN82" s="95" t="s">
        <v>218</v>
      </c>
    </row>
    <row r="83" spans="1:41" ht="14.25" customHeight="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82" t="s">
        <v>117</v>
      </c>
      <c r="AA83" s="415">
        <f>ROUND(SUM(IF(LEFT('[1]июнь 2020(2)'!$A$1:$A$142,3)="791",'[1]июнь 2020(2)'!$AR$1:$AR$142))/1000,1)+'1 кв2020 '!AA83:AF83-AA82+4148.7</f>
        <v>15941.470000000001</v>
      </c>
      <c r="AB83" s="415"/>
      <c r="AC83" s="415"/>
      <c r="AD83" s="415"/>
      <c r="AE83" s="415"/>
      <c r="AF83" s="415"/>
      <c r="AG83" s="83" t="s">
        <v>218</v>
      </c>
      <c r="AH83" s="67" t="s">
        <v>117</v>
      </c>
      <c r="AI83" s="307">
        <v>21226.1</v>
      </c>
      <c r="AJ83" s="307"/>
      <c r="AK83" s="307"/>
      <c r="AL83" s="307"/>
      <c r="AM83" s="307"/>
      <c r="AN83" s="95" t="s">
        <v>218</v>
      </c>
    </row>
    <row r="84" spans="1:41" ht="16.5" customHeight="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82" t="s">
        <v>117</v>
      </c>
      <c r="AA84" s="309">
        <f>SUM(AA81:AF83)</f>
        <v>17353.97</v>
      </c>
      <c r="AB84" s="309"/>
      <c r="AC84" s="309"/>
      <c r="AD84" s="309"/>
      <c r="AE84" s="309"/>
      <c r="AF84" s="309"/>
      <c r="AG84" s="83" t="s">
        <v>218</v>
      </c>
      <c r="AH84" s="67" t="s">
        <v>117</v>
      </c>
      <c r="AI84" s="302">
        <v>21598</v>
      </c>
      <c r="AJ84" s="302"/>
      <c r="AK84" s="302"/>
      <c r="AL84" s="302"/>
      <c r="AM84" s="302"/>
      <c r="AN84" s="96" t="s">
        <v>218</v>
      </c>
    </row>
    <row r="85" spans="1:41" ht="14.25" customHeight="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3495.5299999999988</v>
      </c>
      <c r="AA85" s="272"/>
      <c r="AB85" s="272"/>
      <c r="AC85" s="272"/>
      <c r="AD85" s="272"/>
      <c r="AE85" s="272"/>
      <c r="AF85" s="272"/>
      <c r="AG85" s="272"/>
      <c r="AH85" s="306">
        <v>1639</v>
      </c>
      <c r="AI85" s="307"/>
      <c r="AJ85" s="307"/>
      <c r="AK85" s="307"/>
      <c r="AL85" s="307"/>
      <c r="AM85" s="307"/>
      <c r="AN85" s="308"/>
      <c r="AO85" s="65"/>
    </row>
    <row r="86" spans="1:41" ht="14.25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82" t="s">
        <v>117</v>
      </c>
      <c r="AA86" s="254"/>
      <c r="AB86" s="254"/>
      <c r="AC86" s="254"/>
      <c r="AD86" s="254"/>
      <c r="AE86" s="254"/>
      <c r="AF86" s="254"/>
      <c r="AG86" s="83" t="s">
        <v>218</v>
      </c>
      <c r="AH86" s="311" t="s">
        <v>117</v>
      </c>
      <c r="AI86" s="307"/>
      <c r="AJ86" s="307"/>
      <c r="AK86" s="307"/>
      <c r="AL86" s="307"/>
      <c r="AM86" s="307"/>
      <c r="AN86" s="308"/>
      <c r="AO86" s="65"/>
    </row>
    <row r="87" spans="1:41" ht="16.5" customHeight="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3495.5299999999988</v>
      </c>
      <c r="AA87" s="300"/>
      <c r="AB87" s="300"/>
      <c r="AC87" s="300"/>
      <c r="AD87" s="300"/>
      <c r="AE87" s="300"/>
      <c r="AF87" s="300"/>
      <c r="AG87" s="301"/>
      <c r="AH87" s="299">
        <v>1639</v>
      </c>
      <c r="AI87" s="302"/>
      <c r="AJ87" s="302"/>
      <c r="AK87" s="302"/>
      <c r="AL87" s="302"/>
      <c r="AM87" s="302"/>
      <c r="AN87" s="303"/>
      <c r="AO87" s="65"/>
    </row>
    <row r="88" spans="1:41" ht="4.5" customHeight="1"/>
    <row r="89" spans="1:41" ht="15" customHeight="1">
      <c r="B89" s="247" t="s">
        <v>91</v>
      </c>
      <c r="C89" s="247"/>
      <c r="D89" s="247"/>
      <c r="E89" s="247"/>
      <c r="F89" s="247"/>
      <c r="G89" s="247"/>
      <c r="H89" s="247"/>
      <c r="I89" s="247"/>
      <c r="Q89" s="86"/>
      <c r="R89" s="86"/>
      <c r="S89" s="86"/>
      <c r="T89" s="86"/>
      <c r="U89" s="246"/>
      <c r="V89" s="246"/>
      <c r="W89" s="246"/>
      <c r="X89" s="246"/>
      <c r="AI89" s="243" t="s">
        <v>227</v>
      </c>
      <c r="AJ89" s="243"/>
      <c r="AK89" s="243"/>
      <c r="AL89" s="243"/>
      <c r="AM89" s="243"/>
    </row>
    <row r="90" spans="1:41">
      <c r="Q90" s="86"/>
      <c r="R90" s="86"/>
      <c r="S90" s="86"/>
      <c r="T90" s="86"/>
      <c r="U90" s="294" t="s">
        <v>94</v>
      </c>
      <c r="V90" s="294"/>
      <c r="W90" s="294"/>
      <c r="X90" s="294"/>
      <c r="AI90" s="294" t="s">
        <v>93</v>
      </c>
      <c r="AJ90" s="294"/>
      <c r="AK90" s="294"/>
      <c r="AL90" s="294"/>
      <c r="AM90" s="294"/>
    </row>
    <row r="91" spans="1:41" ht="4.5" customHeight="1">
      <c r="Q91" s="86"/>
      <c r="R91" s="86"/>
      <c r="S91" s="86"/>
      <c r="T91" s="86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86"/>
      <c r="R92" s="86"/>
      <c r="S92" s="86"/>
      <c r="T92" s="86"/>
      <c r="U92" s="246"/>
      <c r="V92" s="246"/>
      <c r="W92" s="246"/>
      <c r="X92" s="246"/>
      <c r="AI92" s="243" t="s">
        <v>228</v>
      </c>
      <c r="AJ92" s="243"/>
      <c r="AK92" s="243"/>
      <c r="AL92" s="243"/>
      <c r="AM92" s="243"/>
    </row>
    <row r="93" spans="1:41">
      <c r="Q93" s="86"/>
      <c r="R93" s="86"/>
      <c r="S93" s="86"/>
      <c r="T93" s="86"/>
      <c r="U93" s="294" t="s">
        <v>94</v>
      </c>
      <c r="V93" s="294"/>
      <c r="W93" s="294"/>
      <c r="X93" s="294"/>
      <c r="AI93" s="294" t="s">
        <v>93</v>
      </c>
      <c r="AJ93" s="294"/>
      <c r="AK93" s="294"/>
      <c r="AL93" s="294"/>
      <c r="AM93" s="294"/>
    </row>
    <row r="94" spans="1:41" ht="7.5" customHeight="1"/>
  </sheetData>
  <mergeCells count="280">
    <mergeCell ref="B92:I92"/>
    <mergeCell ref="U92:X92"/>
    <mergeCell ref="AI92:AM92"/>
    <mergeCell ref="U93:X93"/>
    <mergeCell ref="AI93:AM93"/>
    <mergeCell ref="B89:I89"/>
    <mergeCell ref="U89:X89"/>
    <mergeCell ref="AI89:AM89"/>
    <mergeCell ref="U90:X90"/>
    <mergeCell ref="AI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  <mergeCell ref="A82:U82"/>
    <mergeCell ref="V82:Y82"/>
    <mergeCell ref="AA82:AF82"/>
    <mergeCell ref="AI82:AM82"/>
    <mergeCell ref="A83:U83"/>
    <mergeCell ref="V83:Y83"/>
    <mergeCell ref="AA83:AF83"/>
    <mergeCell ref="AI83:AM83"/>
    <mergeCell ref="A80:U80"/>
    <mergeCell ref="V80:Y80"/>
    <mergeCell ref="Z80:AG80"/>
    <mergeCell ref="AH80:AN80"/>
    <mergeCell ref="A81:U81"/>
    <mergeCell ref="V81:Y81"/>
    <mergeCell ref="AA81:AF81"/>
    <mergeCell ref="AI81:AM81"/>
    <mergeCell ref="A78:U78"/>
    <mergeCell ref="V78:Y78"/>
    <mergeCell ref="Z78:AG78"/>
    <mergeCell ref="AH78:AN78"/>
    <mergeCell ref="A79:U79"/>
    <mergeCell ref="V79:Y79"/>
    <mergeCell ref="Z79:AG79"/>
    <mergeCell ref="AH79:AN79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67:U67"/>
    <mergeCell ref="V67:Y67"/>
    <mergeCell ref="Z67:AG67"/>
    <mergeCell ref="A68:U68"/>
    <mergeCell ref="V68:Y68"/>
    <mergeCell ref="Z68:AG68"/>
    <mergeCell ref="AH68:AN68"/>
    <mergeCell ref="AH64:AN64"/>
    <mergeCell ref="A65:U65"/>
    <mergeCell ref="V65:Y65"/>
    <mergeCell ref="Z65:AG65"/>
    <mergeCell ref="A66:U66"/>
    <mergeCell ref="V66:Y66"/>
    <mergeCell ref="Z66:AG66"/>
    <mergeCell ref="AH66:AN66"/>
    <mergeCell ref="A63:U63"/>
    <mergeCell ref="V63:Y63"/>
    <mergeCell ref="Z63:AG63"/>
    <mergeCell ref="A64:U64"/>
    <mergeCell ref="V64:Y64"/>
    <mergeCell ref="Z64:AG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60:U60"/>
    <mergeCell ref="V60:Y60"/>
    <mergeCell ref="Z60:AG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H47:AN47"/>
    <mergeCell ref="A48:U48"/>
    <mergeCell ref="V48:Y48"/>
    <mergeCell ref="Z48:AG48"/>
    <mergeCell ref="AH52:AN52"/>
    <mergeCell ref="A53:U53"/>
    <mergeCell ref="V53:Y53"/>
    <mergeCell ref="Z53:AG53"/>
    <mergeCell ref="AH53:AN53"/>
    <mergeCell ref="A49:U49"/>
    <mergeCell ref="V49:Y49"/>
    <mergeCell ref="Z49:AG49"/>
    <mergeCell ref="A50:U50"/>
    <mergeCell ref="V50:Y50"/>
    <mergeCell ref="Z50:AG50"/>
    <mergeCell ref="A47:U47"/>
    <mergeCell ref="V47:Y47"/>
    <mergeCell ref="Z47:AG47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41:U41"/>
    <mergeCell ref="V41:Y41"/>
    <mergeCell ref="Z41:AG41"/>
    <mergeCell ref="AH41:AN41"/>
    <mergeCell ref="A45:U45"/>
    <mergeCell ref="V45:Y45"/>
    <mergeCell ref="Z45:AG45"/>
    <mergeCell ref="AH45:AN45"/>
    <mergeCell ref="A38:U38"/>
    <mergeCell ref="V38:Y38"/>
    <mergeCell ref="Z38:AG38"/>
    <mergeCell ref="A39:U39"/>
    <mergeCell ref="V39:Y39"/>
    <mergeCell ref="Z39:AG39"/>
    <mergeCell ref="AH35:AN35"/>
    <mergeCell ref="A36:U36"/>
    <mergeCell ref="V36:Y36"/>
    <mergeCell ref="Z36:AG36"/>
    <mergeCell ref="A37:U37"/>
    <mergeCell ref="V37:Y37"/>
    <mergeCell ref="Z37:AG37"/>
    <mergeCell ref="A33:U33"/>
    <mergeCell ref="V33:Y33"/>
    <mergeCell ref="A34:U34"/>
    <mergeCell ref="V34:Y34"/>
    <mergeCell ref="Z34:AG34"/>
    <mergeCell ref="A35:U35"/>
    <mergeCell ref="V35:Y35"/>
    <mergeCell ref="Z35:AG35"/>
    <mergeCell ref="A31:U31"/>
    <mergeCell ref="V31:Y31"/>
    <mergeCell ref="Z31:AG31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H22:AN22"/>
    <mergeCell ref="A23:U23"/>
    <mergeCell ref="V23:Y23"/>
    <mergeCell ref="Z23:AG23"/>
    <mergeCell ref="A24:U24"/>
    <mergeCell ref="V24:Y24"/>
    <mergeCell ref="AB24:AD24"/>
    <mergeCell ref="A21:U21"/>
    <mergeCell ref="V21:Y21"/>
    <mergeCell ref="Z21:AG21"/>
    <mergeCell ref="A22:U22"/>
    <mergeCell ref="V22:Y22"/>
    <mergeCell ref="Z22:AG22"/>
    <mergeCell ref="AH19:AN19"/>
    <mergeCell ref="A20:U20"/>
    <mergeCell ref="V20:Y20"/>
    <mergeCell ref="Z20:AG20"/>
    <mergeCell ref="AH20:AN20"/>
    <mergeCell ref="AH15:AN15"/>
    <mergeCell ref="I16:S16"/>
    <mergeCell ref="A18:U18"/>
    <mergeCell ref="V18:Y18"/>
    <mergeCell ref="Z18:AG18"/>
    <mergeCell ref="AH18:AN18"/>
    <mergeCell ref="A13:F13"/>
    <mergeCell ref="I15:S15"/>
    <mergeCell ref="T15:Y15"/>
    <mergeCell ref="Z15:AG15"/>
    <mergeCell ref="A9:I9"/>
    <mergeCell ref="J9:Z9"/>
    <mergeCell ref="AB9:AG9"/>
    <mergeCell ref="A19:U19"/>
    <mergeCell ref="V19:Y19"/>
    <mergeCell ref="Z19:AG19"/>
    <mergeCell ref="W1:AN1"/>
    <mergeCell ref="A3:AN3"/>
    <mergeCell ref="A4:AN4"/>
    <mergeCell ref="AI5:AN5"/>
    <mergeCell ref="A6:AF6"/>
    <mergeCell ref="AI6:AK6"/>
    <mergeCell ref="AM6:AN6"/>
    <mergeCell ref="AI24:AL24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A11:M11"/>
    <mergeCell ref="N11:Z11"/>
    <mergeCell ref="A12:Z1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V94"/>
  <sheetViews>
    <sheetView showGridLines="0" topLeftCell="A17" workbookViewId="0">
      <selection activeCell="AS30" sqref="AS30"/>
    </sheetView>
  </sheetViews>
  <sheetFormatPr defaultRowHeight="12.75"/>
  <cols>
    <col min="1" max="5" width="2.28515625" style="102" customWidth="1"/>
    <col min="6" max="6" width="2.7109375" style="102" customWidth="1"/>
    <col min="7" max="29" width="2.28515625" style="102" customWidth="1"/>
    <col min="30" max="34" width="2.28515625" style="119" customWidth="1"/>
    <col min="35" max="35" width="4.140625" style="119" customWidth="1"/>
    <col min="36" max="36" width="4.42578125" style="119" customWidth="1"/>
    <col min="37" max="37" width="2.28515625" style="119" hidden="1" customWidth="1"/>
    <col min="38" max="38" width="4.7109375" style="119" customWidth="1"/>
    <col min="39" max="39" width="2" style="119" customWidth="1"/>
    <col min="40" max="40" width="12.42578125" style="119" customWidth="1"/>
    <col min="41" max="41" width="9.140625" style="119"/>
    <col min="42" max="42" width="13.28515625" style="119" customWidth="1"/>
    <col min="43" max="43" width="9.140625" style="119"/>
    <col min="44" max="44" width="11.7109375" style="119" customWidth="1"/>
    <col min="45" max="16384" width="9.140625" style="119"/>
  </cols>
  <sheetData>
    <row r="1" spans="1:40" ht="48.75" customHeight="1">
      <c r="W1" s="240" t="s">
        <v>208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</row>
    <row r="2" spans="1:40" ht="23.25" customHeight="1"/>
    <row r="3" spans="1:40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29.25" customHeight="1">
      <c r="A5" s="104"/>
      <c r="B5" s="104"/>
      <c r="C5" s="104"/>
      <c r="D5" s="104"/>
      <c r="E5" s="107"/>
      <c r="G5" s="104"/>
      <c r="H5" s="104"/>
      <c r="L5" s="5"/>
      <c r="AA5" s="107"/>
      <c r="AB5" s="107"/>
      <c r="AC5" s="107"/>
      <c r="AD5" s="107"/>
      <c r="AE5" s="107"/>
      <c r="AF5" s="107"/>
      <c r="AG5" s="107"/>
      <c r="AI5" s="256" t="s">
        <v>1</v>
      </c>
      <c r="AJ5" s="256"/>
      <c r="AK5" s="256"/>
      <c r="AL5" s="256"/>
      <c r="AM5" s="256"/>
      <c r="AN5" s="256"/>
    </row>
    <row r="6" spans="1:40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102"/>
      <c r="AI6" s="257" t="s">
        <v>243</v>
      </c>
      <c r="AJ6" s="258"/>
      <c r="AK6" s="259"/>
      <c r="AL6" s="101" t="s">
        <v>282</v>
      </c>
      <c r="AM6" s="284" t="s">
        <v>77</v>
      </c>
      <c r="AN6" s="284"/>
    </row>
    <row r="7" spans="1:40" ht="31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103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3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107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104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3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03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7.25" customHeight="1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246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103"/>
      <c r="AC11" s="105"/>
      <c r="AD11" s="105"/>
      <c r="AE11" s="105"/>
      <c r="AF11" s="105"/>
    </row>
    <row r="12" spans="1:40" ht="13.5" customHeight="1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103"/>
      <c r="AC12" s="12"/>
      <c r="AD12" s="12"/>
      <c r="AE12" s="102"/>
      <c r="AF12" s="102"/>
    </row>
    <row r="13" spans="1:40" ht="13.5" customHeight="1">
      <c r="A13" s="247" t="s">
        <v>130</v>
      </c>
      <c r="B13" s="247"/>
      <c r="C13" s="247"/>
      <c r="D13" s="247"/>
      <c r="E13" s="247"/>
      <c r="F13" s="247"/>
      <c r="AD13" s="102"/>
      <c r="AE13" s="102"/>
      <c r="AF13" s="102"/>
    </row>
    <row r="14" spans="1:40" ht="30" customHeight="1">
      <c r="C14" s="12"/>
      <c r="D14" s="12"/>
      <c r="E14" s="12"/>
      <c r="F14" s="12"/>
      <c r="L14" s="5"/>
    </row>
    <row r="15" spans="1:40" ht="15" customHeight="1">
      <c r="I15" s="260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 t="s">
        <v>215</v>
      </c>
      <c r="U15" s="260"/>
      <c r="V15" s="260"/>
      <c r="W15" s="260"/>
      <c r="X15" s="260"/>
      <c r="Y15" s="260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 ht="10.5" customHeight="1">
      <c r="I16" s="289" t="s">
        <v>281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46" ht="7.5" customHeight="1">
      <c r="G17" s="15"/>
      <c r="H17" s="15"/>
      <c r="L17" s="5"/>
    </row>
    <row r="18" spans="1:46" ht="27.7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65" t="s">
        <v>170</v>
      </c>
      <c r="W18" s="263"/>
      <c r="X18" s="263"/>
      <c r="Y18" s="264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 ht="15" customHeight="1">
      <c r="A19" s="269">
        <v>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 ht="19.5" customHeight="1">
      <c r="A20" s="355" t="s">
        <v>21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390"/>
      <c r="AI20" s="390"/>
      <c r="AJ20" s="390"/>
      <c r="AK20" s="390"/>
      <c r="AL20" s="390"/>
      <c r="AM20" s="390"/>
      <c r="AN20" s="390"/>
    </row>
    <row r="21" spans="1:46" ht="15" customHeight="1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367">
        <v>127.2</v>
      </c>
      <c r="AA21" s="368">
        <v>127.2</v>
      </c>
      <c r="AB21" s="368">
        <v>127.2</v>
      </c>
      <c r="AC21" s="368">
        <v>127.2</v>
      </c>
      <c r="AD21" s="368">
        <v>127.2</v>
      </c>
      <c r="AE21" s="368">
        <v>127.2</v>
      </c>
      <c r="AF21" s="368">
        <v>127.2</v>
      </c>
      <c r="AG21" s="369">
        <v>127.2</v>
      </c>
      <c r="AH21" s="24"/>
      <c r="AI21" s="34"/>
      <c r="AJ21" s="34"/>
      <c r="AK21" s="34"/>
      <c r="AL21" s="34"/>
      <c r="AM21" s="34"/>
      <c r="AN21" s="120" t="e">
        <f t="array" ref="AN21">ROUND(SUM(IF(LEFT('[1]июнь 2020(2)'!$A$3:$A$145,2)="15",'[1]июнь 2020(2)'!$AV$3:$AV$145)),2)</f>
        <v>#REF!</v>
      </c>
      <c r="AP21" s="93" t="s">
        <v>247</v>
      </c>
    </row>
    <row r="22" spans="1:46" ht="15" customHeight="1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Z23-AB24</f>
        <v>4524.1000000000004</v>
      </c>
      <c r="AA22" s="278"/>
      <c r="AB22" s="278"/>
      <c r="AC22" s="278"/>
      <c r="AD22" s="278"/>
      <c r="AE22" s="278"/>
      <c r="AF22" s="278"/>
      <c r="AG22" s="278"/>
      <c r="AH22" s="416" t="e">
        <f>AN23-AI24</f>
        <v>#REF!</v>
      </c>
      <c r="AI22" s="416"/>
      <c r="AJ22" s="416"/>
      <c r="AK22" s="416"/>
      <c r="AL22" s="416"/>
      <c r="AM22" s="416"/>
      <c r="AN22" s="416"/>
    </row>
    <row r="23" spans="1:46" ht="15" customHeight="1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14034.5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24"/>
      <c r="AI23" s="116"/>
      <c r="AJ23" s="116"/>
      <c r="AK23" s="116"/>
      <c r="AL23" s="116"/>
      <c r="AM23" s="110"/>
      <c r="AN23" s="120" t="e">
        <f t="array" ref="AN23">ROUND(SUM(IF((LEFT('[1]июнь 2020(2)'!$A$3:$A$145,2)="10")+(LEFT('[1]июнь 2020(2)'!$A$3:$A$145,2)="11"),'[1]июнь 2020(2)'!$AV$3:$AV$145)),2)</f>
        <v>#REF!</v>
      </c>
      <c r="AP23" s="93" t="s">
        <v>232</v>
      </c>
      <c r="AQ23" s="93" t="s">
        <v>233</v>
      </c>
    </row>
    <row r="24" spans="1:46" ht="15" customHeight="1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102" t="s">
        <v>219</v>
      </c>
      <c r="AA24" s="116"/>
      <c r="AB24" s="389">
        <v>9510.4</v>
      </c>
      <c r="AC24" s="389"/>
      <c r="AD24" s="389"/>
      <c r="AE24" s="108"/>
      <c r="AF24" s="116" t="s">
        <v>218</v>
      </c>
      <c r="AG24" s="117"/>
      <c r="AH24" s="113" t="s">
        <v>219</v>
      </c>
      <c r="AI24" s="417" t="e">
        <f t="array" ref="AI24">-ROUND(SUM(IF((LEFT('[1]июнь 2020(2)'!$A$3:$A$145,3)="131")+(LEFT('[1]июнь 2020(2)'!$A$3:$A$145,3)="132")+(LEFT('[1]июнь 2020(2)'!$A$3:$A$145,3)="135"),'[1]июнь 2020(2)'!$AW$3:$AW$145)),2)</f>
        <v>#REF!</v>
      </c>
      <c r="AJ24" s="417"/>
      <c r="AK24" s="417"/>
      <c r="AL24" s="417"/>
      <c r="AM24" s="92"/>
      <c r="AN24" s="114" t="s">
        <v>218</v>
      </c>
      <c r="AP24" s="94">
        <v>131</v>
      </c>
      <c r="AQ24" s="94">
        <v>132</v>
      </c>
      <c r="AR24" s="93" t="s">
        <v>248</v>
      </c>
    </row>
    <row r="25" spans="1:46" ht="15" customHeight="1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278"/>
      <c r="AA25" s="278"/>
      <c r="AB25" s="278"/>
      <c r="AC25" s="278"/>
      <c r="AD25" s="278"/>
      <c r="AE25" s="278"/>
      <c r="AF25" s="278"/>
      <c r="AG25" s="278"/>
      <c r="AH25" s="358"/>
      <c r="AI25" s="279"/>
      <c r="AJ25" s="279"/>
      <c r="AK25" s="279"/>
      <c r="AL25" s="279"/>
      <c r="AM25" s="358"/>
      <c r="AN25" s="279"/>
      <c r="AP25" s="119" t="s">
        <v>249</v>
      </c>
      <c r="AQ25" s="119" t="s">
        <v>250</v>
      </c>
      <c r="AR25" s="119" t="s">
        <v>251</v>
      </c>
    </row>
    <row r="26" spans="1:46" ht="15" customHeight="1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</row>
    <row r="27" spans="1:46" ht="15" customHeight="1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</row>
    <row r="28" spans="1:46" ht="19.5" customHeight="1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15" t="s">
        <v>142</v>
      </c>
      <c r="W28" s="316"/>
      <c r="X28" s="316"/>
      <c r="Y28" s="317"/>
      <c r="Z28" s="318">
        <f>Z22+Z25+Z26+Z27+Z21</f>
        <v>4651.3</v>
      </c>
      <c r="AA28" s="319"/>
      <c r="AB28" s="319"/>
      <c r="AC28" s="319"/>
      <c r="AD28" s="319"/>
      <c r="AE28" s="319"/>
      <c r="AF28" s="319"/>
      <c r="AG28" s="319"/>
      <c r="AH28" s="399" t="e">
        <f>AH22+AH25+AH26+AH27+AN21</f>
        <v>#REF!</v>
      </c>
      <c r="AI28" s="399"/>
      <c r="AJ28" s="399"/>
      <c r="AK28" s="399"/>
      <c r="AL28" s="399"/>
      <c r="AM28" s="399"/>
      <c r="AN28" s="399"/>
    </row>
    <row r="29" spans="1:46" ht="19.5" customHeight="1">
      <c r="A29" s="355" t="s">
        <v>31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7"/>
      <c r="V29" s="273"/>
      <c r="W29" s="273"/>
      <c r="X29" s="273"/>
      <c r="Y29" s="273"/>
      <c r="Z29" s="278"/>
      <c r="AA29" s="278"/>
      <c r="AB29" s="278"/>
      <c r="AC29" s="278"/>
      <c r="AD29" s="278"/>
      <c r="AE29" s="278"/>
      <c r="AF29" s="278"/>
      <c r="AG29" s="278"/>
      <c r="AH29" s="370"/>
      <c r="AI29" s="370"/>
      <c r="AJ29" s="370"/>
      <c r="AK29" s="370"/>
      <c r="AL29" s="370"/>
      <c r="AM29" s="370"/>
      <c r="AN29" s="370"/>
    </row>
    <row r="30" spans="1:46" ht="15" customHeight="1">
      <c r="A30" s="304" t="s">
        <v>132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65" t="s">
        <v>143</v>
      </c>
      <c r="W30" s="266"/>
      <c r="X30" s="266"/>
      <c r="Y30" s="267"/>
      <c r="Z30" s="367">
        <v>16804</v>
      </c>
      <c r="AA30" s="368"/>
      <c r="AB30" s="368"/>
      <c r="AC30" s="368"/>
      <c r="AD30" s="368"/>
      <c r="AE30" s="368"/>
      <c r="AF30" s="368"/>
      <c r="AG30" s="369"/>
      <c r="AH30" s="115"/>
      <c r="AI30" s="116"/>
      <c r="AJ30" s="116"/>
      <c r="AK30" s="116"/>
      <c r="AL30" s="116"/>
      <c r="AM30" s="116"/>
      <c r="AN30" s="120" t="e">
        <f t="array" ref="AN30">ROUND(SUM(IF((LEFT('[1]июнь 2020(2)'!$A$3:$A$145,2)="20")+(LEFT('[1]июнь 2020(2)'!$A$3:$A$145,2)="22")+(LEFT('[1]июнь 2020(2)'!$A$3:$A$145,2)="23")-(LEFT('[1]июнь 2020(2)'!$A$3:$A$145,3)="286"),'[1]июнь 2020(2)'!$AV$3:$AV$145)),2)</f>
        <v>#REF!</v>
      </c>
      <c r="AP30" s="94">
        <v>20</v>
      </c>
      <c r="AQ30" s="94">
        <v>22</v>
      </c>
      <c r="AR30" s="94">
        <v>23</v>
      </c>
      <c r="AS30" s="36">
        <v>-286</v>
      </c>
      <c r="AT30" s="36"/>
    </row>
    <row r="31" spans="1:46" ht="15" customHeight="1">
      <c r="A31" s="325" t="s">
        <v>210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7"/>
      <c r="V31" s="265" t="s">
        <v>144</v>
      </c>
      <c r="W31" s="266"/>
      <c r="X31" s="266"/>
      <c r="Y31" s="267"/>
      <c r="Z31" s="383"/>
      <c r="AA31" s="384"/>
      <c r="AB31" s="384"/>
      <c r="AC31" s="384"/>
      <c r="AD31" s="384"/>
      <c r="AE31" s="384"/>
      <c r="AF31" s="384"/>
      <c r="AG31" s="385"/>
      <c r="AH31" s="331"/>
      <c r="AI31" s="332"/>
      <c r="AJ31" s="332"/>
      <c r="AK31" s="332"/>
      <c r="AL31" s="332"/>
      <c r="AM31" s="332"/>
      <c r="AN31" s="333"/>
    </row>
    <row r="32" spans="1:46" ht="15" customHeight="1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386"/>
      <c r="AA32" s="386"/>
      <c r="AB32" s="386"/>
      <c r="AC32" s="386"/>
      <c r="AD32" s="386"/>
      <c r="AE32" s="386"/>
      <c r="AF32" s="386"/>
      <c r="AG32" s="386"/>
      <c r="AH32" s="370"/>
      <c r="AI32" s="370"/>
      <c r="AJ32" s="370"/>
      <c r="AK32" s="370"/>
      <c r="AL32" s="370"/>
      <c r="AM32" s="370"/>
      <c r="AN32" s="370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42"/>
      <c r="AA33" s="43"/>
      <c r="AB33" s="43"/>
      <c r="AC33" s="43"/>
      <c r="AD33" s="43"/>
      <c r="AE33" s="43"/>
      <c r="AF33" s="43"/>
      <c r="AG33" s="44"/>
      <c r="AH33" s="111"/>
      <c r="AI33" s="112"/>
      <c r="AJ33" s="112"/>
      <c r="AK33" s="112"/>
      <c r="AL33" s="112"/>
      <c r="AM33" s="112"/>
      <c r="AN33" s="38" t="e">
        <f t="array" ref="AN33">ROUND(SUM(IF((LEFT('[1]июнь 2020(2)'!$A$3:$A$145,2)="34")+(LEFT('[1]июнь 2020(2)'!$A$3:$A$145,2)="36"),'[1]июнь 2020(2)'!$AV$3:$AV$145)),2)</f>
        <v>#REF!</v>
      </c>
      <c r="AP33" s="93" t="s">
        <v>252</v>
      </c>
      <c r="AQ33" s="93" t="s">
        <v>253</v>
      </c>
    </row>
    <row r="34" spans="1:48" ht="15" customHeight="1">
      <c r="A34" s="304" t="s">
        <v>36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265" t="s">
        <v>147</v>
      </c>
      <c r="W34" s="266"/>
      <c r="X34" s="266"/>
      <c r="Y34" s="267"/>
      <c r="Z34" s="367">
        <v>12.3</v>
      </c>
      <c r="AA34" s="368"/>
      <c r="AB34" s="368"/>
      <c r="AC34" s="368"/>
      <c r="AD34" s="368"/>
      <c r="AE34" s="368"/>
      <c r="AF34" s="368"/>
      <c r="AG34" s="369"/>
      <c r="AH34" s="115"/>
      <c r="AI34" s="116"/>
      <c r="AJ34" s="116"/>
      <c r="AK34" s="116"/>
      <c r="AL34" s="116"/>
      <c r="AM34" s="116"/>
      <c r="AN34" s="120" t="e">
        <f t="array" ref="AN34">ROUND(SUM(IF((LEFT('[1]июнь 2020(2)'!$A$3:$A$145,3)="378")+(LEFT('[1]июнь 2020(2)'!$A$3:$A$145,3)="641")+(LEFT('[1]июнь 2020(2)'!$A$3:$A$145,3)="642")++(LEFT('[1]июнь 2020(2)'!$A$3:$A$145,3)="651")+(LEFT('[1]июнь 2020(2)'!$A$3:$A$145,3)="652"),'[1]июнь 2020(2)'!$AV$3:$AV$145)),2)</f>
        <v>#REF!</v>
      </c>
      <c r="AP34" s="93" t="s">
        <v>254</v>
      </c>
      <c r="AQ34" s="93" t="s">
        <v>255</v>
      </c>
      <c r="AR34" s="93" t="s">
        <v>256</v>
      </c>
      <c r="AS34" s="93" t="s">
        <v>257</v>
      </c>
      <c r="AT34" s="93" t="s">
        <v>258</v>
      </c>
    </row>
    <row r="35" spans="1:48" ht="15" customHeight="1">
      <c r="A35" s="325" t="s">
        <v>164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  <c r="V35" s="265" t="s">
        <v>148</v>
      </c>
      <c r="W35" s="266"/>
      <c r="X35" s="266"/>
      <c r="Y35" s="267"/>
      <c r="Z35" s="380"/>
      <c r="AA35" s="381"/>
      <c r="AB35" s="381"/>
      <c r="AC35" s="381"/>
      <c r="AD35" s="381"/>
      <c r="AE35" s="381"/>
      <c r="AF35" s="381"/>
      <c r="AG35" s="382"/>
      <c r="AH35" s="375"/>
      <c r="AI35" s="376"/>
      <c r="AJ35" s="376"/>
      <c r="AK35" s="376"/>
      <c r="AL35" s="376"/>
      <c r="AM35" s="376"/>
      <c r="AN35" s="377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367">
        <v>1259.7</v>
      </c>
      <c r="AA36" s="368"/>
      <c r="AB36" s="368"/>
      <c r="AC36" s="368"/>
      <c r="AD36" s="368"/>
      <c r="AE36" s="368"/>
      <c r="AF36" s="368"/>
      <c r="AG36" s="369"/>
      <c r="AH36" s="115"/>
      <c r="AI36" s="116"/>
      <c r="AJ36" s="116"/>
      <c r="AK36" s="116"/>
      <c r="AL36" s="116"/>
      <c r="AM36" s="116"/>
      <c r="AN36" s="121" t="e">
        <f t="array" ref="AN36">ROUND(SUM(IF((LEFT('[1]июнь 2020(2)'!$A$3:$A$145,2)="37")-(LEFT('[1]июнь 2020(2)'!$A$3:$A$145,3)="378")+(LEFT('[1]июнь 2020(2)'!$A$3:$A$145,2)="66")+(LEFT('[1]июнь 2020(2)'!$A$3:$A$145,2)="68")+(LEFT('[1]июнь 2020(2)'!$A$3:$A$145,3)="653")+(LEFT('[1]июнь 2020(2)'!$A$3:$A$145,2)="654")+(LEFT('[1]июнь 2020(2)'!$A$3:$A$145,5)="644/1"),'[1]июнь 2020(2)'!$AV$3:$AV$145)),2)</f>
        <v>#REF!</v>
      </c>
      <c r="AP36" s="93" t="s">
        <v>259</v>
      </c>
      <c r="AQ36" s="93" t="s">
        <v>260</v>
      </c>
      <c r="AR36" s="93" t="s">
        <v>261</v>
      </c>
      <c r="AS36" s="93" t="s">
        <v>262</v>
      </c>
      <c r="AT36" s="93" t="s">
        <v>263</v>
      </c>
      <c r="AU36" s="93"/>
      <c r="AV36" s="93" t="s">
        <v>285</v>
      </c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378"/>
      <c r="AA37" s="378"/>
      <c r="AB37" s="378"/>
      <c r="AC37" s="378"/>
      <c r="AD37" s="378"/>
      <c r="AE37" s="378"/>
      <c r="AF37" s="378"/>
      <c r="AG37" s="378"/>
      <c r="AH37" s="115"/>
      <c r="AI37" s="116"/>
      <c r="AJ37" s="116"/>
      <c r="AK37" s="116"/>
      <c r="AL37" s="116"/>
      <c r="AM37" s="116"/>
      <c r="AN37" s="117" t="e">
        <f t="array" ref="AN37">ROUND(SUM(IF(LEFT('[1]июнь 2020(2)'!$A$3:$A$145,3)="352",'[1]июнь 2020(2)'!$AV$3:$AV$145)),2)</f>
        <v>#REF!</v>
      </c>
      <c r="AP37" s="93" t="s">
        <v>284</v>
      </c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367">
        <v>10.7</v>
      </c>
      <c r="AA38" s="368"/>
      <c r="AB38" s="368"/>
      <c r="AC38" s="368"/>
      <c r="AD38" s="368"/>
      <c r="AE38" s="368"/>
      <c r="AF38" s="368"/>
      <c r="AG38" s="369"/>
      <c r="AH38" s="115"/>
      <c r="AI38" s="116"/>
      <c r="AJ38" s="116"/>
      <c r="AK38" s="116"/>
      <c r="AL38" s="116"/>
      <c r="AM38" s="116"/>
      <c r="AN38" s="120" t="e">
        <f t="array" ref="AN38">ROUND(SUM(IF((LEFT('[1]июнь 2020(2)'!$A$3:$A$145,2)="30")+(LEFT('[1]июнь 2020(2)'!$A$3:$A$145,2)="31")+(LEFT('[1]июнь 2020(2)'!$A$3:$A$145,3)="333")+((LEFT('[1]июнь 2020(2)'!$A$3:$A$145,3)="334")+(LEFT('[1]июнь 2020(2)'!$A$3:$A$145,3)="335")+(LEFT('[1]июнь 2020(2)'!$A$3:$A$145,3)="351")),'[1]июнь 2020(2)'!$AV$3:$AV$145)),2)</f>
        <v>#REF!</v>
      </c>
      <c r="AP38" s="94">
        <v>30</v>
      </c>
      <c r="AQ38" s="94">
        <v>31</v>
      </c>
      <c r="AR38" s="94">
        <v>333</v>
      </c>
      <c r="AS38" s="93" t="s">
        <v>264</v>
      </c>
      <c r="AT38" s="93" t="s">
        <v>265</v>
      </c>
      <c r="AU38" s="93" t="s">
        <v>266</v>
      </c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358"/>
      <c r="AA39" s="358"/>
      <c r="AB39" s="358"/>
      <c r="AC39" s="358"/>
      <c r="AD39" s="358"/>
      <c r="AE39" s="358"/>
      <c r="AF39" s="358"/>
      <c r="AG39" s="358"/>
      <c r="AH39" s="115"/>
      <c r="AI39" s="116"/>
      <c r="AJ39" s="116"/>
      <c r="AK39" s="116"/>
      <c r="AL39" s="116"/>
      <c r="AM39" s="116"/>
      <c r="AN39" s="120" t="e">
        <f t="array" ref="AN39">ROUND(SUM(IF((LEFT('[1]июнь 2020(2)'!$A$3:$A$145,2)="39"),'[1]июнь 2020(2)'!$AV$3:$AV$145)),2)</f>
        <v>#REF!</v>
      </c>
      <c r="AP39" s="93" t="s">
        <v>269</v>
      </c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279"/>
      <c r="AA40" s="279"/>
      <c r="AB40" s="279"/>
      <c r="AC40" s="279"/>
      <c r="AD40" s="279"/>
      <c r="AE40" s="279"/>
      <c r="AF40" s="279"/>
      <c r="AG40" s="279"/>
      <c r="AH40" s="115"/>
      <c r="AI40" s="116"/>
      <c r="AJ40" s="116"/>
      <c r="AK40" s="116"/>
      <c r="AL40" s="116"/>
      <c r="AM40" s="116"/>
      <c r="AN40" s="120" t="e">
        <f t="array" ref="AN40">ROUND(SUM(IF((LEFT('[1]июнь 2020(2)'!$A$3:$A$145,3)="331")+(LEFT('[1]июнь 2020(2)'!$A$3:$A$145,3)="332"),'[1]июнь 2020(2)'!$AV$3:$AV$145)),2)</f>
        <v>#REF!</v>
      </c>
      <c r="AP40" s="93" t="s">
        <v>267</v>
      </c>
      <c r="AQ40" s="93" t="s">
        <v>268</v>
      </c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364">
        <v>18086.7</v>
      </c>
      <c r="AA41" s="365"/>
      <c r="AB41" s="365"/>
      <c r="AC41" s="365"/>
      <c r="AD41" s="365"/>
      <c r="AE41" s="365"/>
      <c r="AF41" s="365"/>
      <c r="AG41" s="366"/>
      <c r="AH41" s="399" t="e">
        <f>SUM(AN30,AH32:AN34,AH36:AN40)</f>
        <v>#REF!</v>
      </c>
      <c r="AI41" s="399"/>
      <c r="AJ41" s="399"/>
      <c r="AK41" s="399"/>
      <c r="AL41" s="399"/>
      <c r="AM41" s="399"/>
      <c r="AN41" s="404"/>
    </row>
    <row r="42" spans="1:48" ht="28.5" customHeight="1">
      <c r="A42" s="283" t="s">
        <v>207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</row>
    <row r="43" spans="1:48" ht="22.5" customHeight="1">
      <c r="A43" s="372" t="s">
        <v>44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4"/>
      <c r="V43" s="371" t="s">
        <v>156</v>
      </c>
      <c r="W43" s="371"/>
      <c r="X43" s="371"/>
      <c r="Y43" s="371"/>
      <c r="Z43" s="318">
        <f>Z28+Z41+Z42</f>
        <v>22738</v>
      </c>
      <c r="AA43" s="319"/>
      <c r="AB43" s="319"/>
      <c r="AC43" s="319"/>
      <c r="AD43" s="319"/>
      <c r="AE43" s="319"/>
      <c r="AF43" s="319"/>
      <c r="AG43" s="319"/>
      <c r="AH43" s="399" t="e">
        <f>AH28+AH41+AH42</f>
        <v>#REF!</v>
      </c>
      <c r="AI43" s="399"/>
      <c r="AJ43" s="399"/>
      <c r="AK43" s="399"/>
      <c r="AL43" s="399"/>
      <c r="AM43" s="399"/>
      <c r="AN43" s="399"/>
      <c r="AP43" s="40" t="e">
        <f>AH43+AR68</f>
        <v>#REF!</v>
      </c>
    </row>
    <row r="44" spans="1:48" ht="4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109"/>
      <c r="AI44" s="109"/>
      <c r="AJ44" s="109"/>
      <c r="AK44" s="109"/>
      <c r="AL44" s="109"/>
      <c r="AM44" s="109"/>
      <c r="AN44" s="109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69">
        <v>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81">
        <v>2</v>
      </c>
      <c r="W46" s="281"/>
      <c r="X46" s="281"/>
      <c r="Y46" s="281"/>
      <c r="Z46" s="253">
        <v>3</v>
      </c>
      <c r="AA46" s="254"/>
      <c r="AB46" s="254"/>
      <c r="AC46" s="254"/>
      <c r="AD46" s="254"/>
      <c r="AE46" s="254"/>
      <c r="AF46" s="254"/>
      <c r="AG46" s="255"/>
      <c r="AH46" s="253">
        <v>4</v>
      </c>
      <c r="AI46" s="254"/>
      <c r="AJ46" s="254"/>
      <c r="AK46" s="254"/>
      <c r="AL46" s="254"/>
      <c r="AM46" s="254"/>
      <c r="AN46" s="255"/>
    </row>
    <row r="47" spans="1:48" ht="19.5" customHeight="1">
      <c r="A47" s="355" t="s">
        <v>46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7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370"/>
      <c r="AI47" s="370"/>
      <c r="AJ47" s="370"/>
      <c r="AK47" s="370"/>
      <c r="AL47" s="370"/>
      <c r="AM47" s="370"/>
      <c r="AN47" s="370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367">
        <v>5934.6</v>
      </c>
      <c r="AA48" s="368"/>
      <c r="AB48" s="368"/>
      <c r="AC48" s="368"/>
      <c r="AD48" s="368"/>
      <c r="AE48" s="368"/>
      <c r="AF48" s="368"/>
      <c r="AG48" s="369"/>
      <c r="AH48" s="115"/>
      <c r="AI48" s="116"/>
      <c r="AJ48" s="116"/>
      <c r="AK48" s="116"/>
      <c r="AL48" s="116"/>
      <c r="AM48" s="116"/>
      <c r="AN48" s="120" t="e">
        <f t="array" ref="AN48">-ROUND(SUM(IF(LEFT('[1]июнь 2020(2)'!$A$3:$A$145,2)="40",'[1]июнь 2020(2)'!$AW$3:$AW$145)),2)</f>
        <v>#REF!</v>
      </c>
      <c r="AP48" s="94">
        <v>40</v>
      </c>
    </row>
    <row r="49" spans="1:44" ht="13.5" customHeight="1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115"/>
      <c r="AI49" s="116"/>
      <c r="AJ49" s="116"/>
      <c r="AK49" s="116"/>
      <c r="AL49" s="116"/>
      <c r="AM49" s="116"/>
      <c r="AN49" s="120" t="e">
        <f t="array" ref="AN49">-ROUND(SUM(IF((LEFT('[1]июнь 2020(2)'!$A$3:$A$145,2)="41"),'[1]июнь 2020(2)'!$AW$3:$AW$145)),2)-ROUND(SUM(IF((LEFT('[1]июнь 2020(2)'!$A$3:$A$145,2)="42"),'[1]июнь 2020(2)'!$AW$3:$AW$145)),2)</f>
        <v>#REF!</v>
      </c>
      <c r="AP49" s="119" t="s">
        <v>270</v>
      </c>
      <c r="AQ49" s="119" t="s">
        <v>271</v>
      </c>
    </row>
    <row r="50" spans="1:44" ht="13.5" customHeight="1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115"/>
      <c r="AI50" s="116"/>
      <c r="AJ50" s="116"/>
      <c r="AK50" s="116"/>
      <c r="AL50" s="116"/>
      <c r="AM50" s="116"/>
      <c r="AN50" s="117" t="e">
        <f t="array" ref="AN50">-ROUND(SUM(IF(LEFT('[1]июнь 2020(2)'!$A$3:$A$145,2)="43",'[1]июнь 2020(2)'!$AW$3:$AW$145)),2)</f>
        <v>#REF!</v>
      </c>
      <c r="AP50" s="119" t="s">
        <v>272</v>
      </c>
    </row>
    <row r="51" spans="1:44" ht="13.5" customHeight="1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367">
        <v>1865.4</v>
      </c>
      <c r="AA51" s="368"/>
      <c r="AB51" s="368"/>
      <c r="AC51" s="368"/>
      <c r="AD51" s="368"/>
      <c r="AE51" s="368"/>
      <c r="AF51" s="368"/>
      <c r="AG51" s="369"/>
      <c r="AH51" s="115"/>
      <c r="AI51" s="116"/>
      <c r="AJ51" s="116"/>
      <c r="AK51" s="116"/>
      <c r="AL51" s="116"/>
      <c r="AM51" s="116"/>
      <c r="AN51" s="120" t="e">
        <f t="array" ref="AN51">-ROUND(SUM(IF((LEFT('[1]июнь 2020(2)'!$A$3:$A$145,3)="791"),'[1]июнь 2020(2)'!$AW$3:$AW$145)),2)-ROUND(SUM(IF((LEFT('[1]июнь 2020(2)'!$A$3:$A$145,3)="441"),'[1]июнь 2020(2)'!$AW$3:$AW$145)),2)</f>
        <v>#REF!</v>
      </c>
      <c r="AP51" s="36">
        <v>441</v>
      </c>
      <c r="AQ51" s="36"/>
    </row>
    <row r="52" spans="1:44" ht="13.5" customHeight="1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253" t="s">
        <v>117</v>
      </c>
      <c r="AA52" s="254"/>
      <c r="AB52" s="254"/>
      <c r="AC52" s="254"/>
      <c r="AD52" s="254"/>
      <c r="AE52" s="254"/>
      <c r="AF52" s="254"/>
      <c r="AG52" s="255"/>
      <c r="AH52" s="359" t="s">
        <v>118</v>
      </c>
      <c r="AI52" s="360"/>
      <c r="AJ52" s="360"/>
      <c r="AK52" s="360"/>
      <c r="AL52" s="360"/>
      <c r="AM52" s="360"/>
      <c r="AN52" s="361"/>
    </row>
    <row r="53" spans="1:44" ht="19.5" customHeight="1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62">
        <f>SUM(Z48:AG52)</f>
        <v>7800</v>
      </c>
      <c r="AA53" s="363"/>
      <c r="AB53" s="363"/>
      <c r="AC53" s="363"/>
      <c r="AD53" s="363"/>
      <c r="AE53" s="363"/>
      <c r="AF53" s="363"/>
      <c r="AG53" s="363"/>
      <c r="AH53" s="363" t="e">
        <f>SUM(AH48:AN52)</f>
        <v>#REF!</v>
      </c>
      <c r="AI53" s="363"/>
      <c r="AJ53" s="363"/>
      <c r="AK53" s="363"/>
      <c r="AL53" s="363"/>
      <c r="AM53" s="363"/>
      <c r="AN53" s="363"/>
    </row>
    <row r="54" spans="1:44" ht="27" customHeight="1">
      <c r="A54" s="315" t="s">
        <v>158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  <c r="V54" s="283" t="s">
        <v>177</v>
      </c>
      <c r="W54" s="283"/>
      <c r="X54" s="283"/>
      <c r="Y54" s="283"/>
      <c r="Z54" s="364">
        <v>127.2</v>
      </c>
      <c r="AA54" s="365"/>
      <c r="AB54" s="365"/>
      <c r="AC54" s="365"/>
      <c r="AD54" s="365"/>
      <c r="AE54" s="365"/>
      <c r="AF54" s="365"/>
      <c r="AG54" s="366"/>
      <c r="AH54" s="62"/>
      <c r="AI54" s="37"/>
      <c r="AJ54" s="37"/>
      <c r="AK54" s="37"/>
      <c r="AL54" s="37"/>
      <c r="AM54" s="37"/>
      <c r="AN54" s="123" t="e">
        <f t="array" ref="AN54">-ROUND(SUM(IF((LEFT('[1]июнь 2020(2)'!$A$3:$A$145,2)="48")+(LEFT('[1]июнь 2020(2)'!$A$3:$A$145,2)="47")+(LEFT('[1]июнь 2020(2)'!$A$3:$A$145,2)="50")+(LEFT('[1]июнь 2020(2)'!$A$3:$A$145,2)="51")+(LEFT('[1]июнь 2020(2)'!$A$3:$A$145,2)="52")+(LEFT('[1]июнь 2020(2)'!$A$3:$A$145,2)="53")+(LEFT('[1]июнь 2020(2)'!$A$3:$A$145,2)="54")+(LEFT('[1]июнь 2020(2)'!$A$3:$A$145,2)="55"),'[1]июнь 2020(2)'!$AW$3:$AW$145)),2)</f>
        <v>#REF!</v>
      </c>
      <c r="AP54" s="36">
        <v>47</v>
      </c>
      <c r="AQ54" s="119" t="s">
        <v>273</v>
      </c>
      <c r="AR54" s="119" t="s">
        <v>274</v>
      </c>
    </row>
    <row r="55" spans="1:44" ht="18" customHeight="1">
      <c r="A55" s="355" t="s">
        <v>159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7"/>
      <c r="V55" s="283"/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358"/>
      <c r="AI55" s="358"/>
      <c r="AJ55" s="358"/>
      <c r="AK55" s="358"/>
      <c r="AL55" s="358"/>
      <c r="AM55" s="358"/>
      <c r="AN55" s="358"/>
    </row>
    <row r="56" spans="1:44" ht="13.5" customHeight="1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69" t="s">
        <v>178</v>
      </c>
      <c r="W56" s="270"/>
      <c r="X56" s="270"/>
      <c r="Y56" s="27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</row>
    <row r="57" spans="1:44" ht="13.5" customHeight="1">
      <c r="A57" s="338" t="s">
        <v>160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1"/>
      <c r="W57" s="342"/>
      <c r="X57" s="342"/>
      <c r="Y57" s="343"/>
      <c r="Z57" s="344"/>
      <c r="AA57" s="345"/>
      <c r="AB57" s="345"/>
      <c r="AC57" s="345"/>
      <c r="AD57" s="345"/>
      <c r="AE57" s="345"/>
      <c r="AF57" s="345"/>
      <c r="AG57" s="346"/>
      <c r="AH57" s="335"/>
      <c r="AI57" s="336"/>
      <c r="AJ57" s="336"/>
      <c r="AK57" s="336"/>
      <c r="AL57" s="336"/>
      <c r="AM57" s="336"/>
      <c r="AN57" s="337"/>
    </row>
    <row r="58" spans="1:44" ht="13.5" customHeight="1">
      <c r="A58" s="347" t="s">
        <v>161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350" t="s">
        <v>179</v>
      </c>
      <c r="W58" s="291"/>
      <c r="X58" s="291"/>
      <c r="Y58" s="351"/>
      <c r="Z58" s="352"/>
      <c r="AA58" s="353"/>
      <c r="AB58" s="353"/>
      <c r="AC58" s="353"/>
      <c r="AD58" s="353"/>
      <c r="AE58" s="353"/>
      <c r="AF58" s="353"/>
      <c r="AG58" s="354"/>
      <c r="AH58" s="331"/>
      <c r="AI58" s="332"/>
      <c r="AJ58" s="332"/>
      <c r="AK58" s="332"/>
      <c r="AL58" s="332"/>
      <c r="AM58" s="332"/>
      <c r="AN58" s="333"/>
    </row>
    <row r="59" spans="1:44" ht="13.5" customHeight="1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69" t="s">
        <v>180</v>
      </c>
      <c r="W59" s="270"/>
      <c r="X59" s="270"/>
      <c r="Y59" s="271"/>
      <c r="Z59" s="278"/>
      <c r="AA59" s="278"/>
      <c r="AB59" s="278"/>
      <c r="AC59" s="278"/>
      <c r="AD59" s="278"/>
      <c r="AE59" s="278"/>
      <c r="AF59" s="278"/>
      <c r="AG59" s="278"/>
      <c r="AH59" s="115"/>
      <c r="AI59" s="116"/>
      <c r="AJ59" s="116"/>
      <c r="AK59" s="116"/>
      <c r="AL59" s="116"/>
      <c r="AM59" s="116"/>
      <c r="AN59" s="35" t="e">
        <f t="array" ref="AN59">-ROUND(SUM(IF(LEFT('[1]июнь 2020(2)'!$A$3:$A$145,2)="63",'[1]июнь 2020(2)'!$AW$3:$AW$145))/1000,1)-ROUND(SUM(IF(LEFT('[1]июнь 2020(2)'!$A$3:$A$145,3)="62",'[1]июнь 2020(2)'!$AW$3:$AW$145)),2)</f>
        <v>#REF!</v>
      </c>
      <c r="AP59" s="119" t="s">
        <v>275</v>
      </c>
      <c r="AQ59" s="119" t="s">
        <v>276</v>
      </c>
    </row>
    <row r="60" spans="1:44" ht="13.5" customHeight="1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69" t="s">
        <v>181</v>
      </c>
      <c r="W60" s="270"/>
      <c r="X60" s="270"/>
      <c r="Y60" s="271"/>
      <c r="Z60" s="278">
        <v>2.4</v>
      </c>
      <c r="AA60" s="278"/>
      <c r="AB60" s="278"/>
      <c r="AC60" s="278"/>
      <c r="AD60" s="278"/>
      <c r="AE60" s="278"/>
      <c r="AF60" s="278"/>
      <c r="AG60" s="323"/>
      <c r="AH60" s="115"/>
      <c r="AI60" s="116"/>
      <c r="AJ60" s="116"/>
      <c r="AK60" s="116"/>
      <c r="AL60" s="116"/>
      <c r="AM60" s="116"/>
      <c r="AN60" s="120" t="e">
        <f t="array" ref="AN60">-ROUND(SUM(IF((LEFT('[1]июнь 2020(2)'!$A$3:$A$145,3)="641")+(LEFT('[1]июнь 2020(2)'!$A$3:$A$145,3)="642"),'[1]июнь 2020(2)'!$AW$3:$AW$145)),2)</f>
        <v>#REF!</v>
      </c>
      <c r="AP60" s="36">
        <v>641</v>
      </c>
      <c r="AQ60" s="36">
        <v>642</v>
      </c>
    </row>
    <row r="61" spans="1:44" ht="13.5" customHeight="1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69" t="s">
        <v>182</v>
      </c>
      <c r="W61" s="270"/>
      <c r="X61" s="270"/>
      <c r="Y61" s="271"/>
      <c r="Z61" s="278"/>
      <c r="AA61" s="278"/>
      <c r="AB61" s="278"/>
      <c r="AC61" s="278"/>
      <c r="AD61" s="278"/>
      <c r="AE61" s="278"/>
      <c r="AF61" s="278"/>
      <c r="AG61" s="278"/>
      <c r="AH61" s="331"/>
      <c r="AI61" s="332"/>
      <c r="AJ61" s="332"/>
      <c r="AK61" s="332"/>
      <c r="AL61" s="332"/>
      <c r="AM61" s="332"/>
      <c r="AN61" s="333"/>
    </row>
    <row r="62" spans="1:44" ht="13.5" customHeight="1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69" t="s">
        <v>183</v>
      </c>
      <c r="W62" s="270"/>
      <c r="X62" s="270"/>
      <c r="Y62" s="271"/>
      <c r="Z62" s="278"/>
      <c r="AA62" s="278"/>
      <c r="AB62" s="278"/>
      <c r="AC62" s="278"/>
      <c r="AD62" s="278"/>
      <c r="AE62" s="278"/>
      <c r="AF62" s="278"/>
      <c r="AG62" s="278"/>
      <c r="AH62" s="335"/>
      <c r="AI62" s="336"/>
      <c r="AJ62" s="336"/>
      <c r="AK62" s="336"/>
      <c r="AL62" s="336"/>
      <c r="AM62" s="336"/>
      <c r="AN62" s="337"/>
    </row>
    <row r="63" spans="1:44" ht="13.5" customHeight="1">
      <c r="A63" s="325" t="s">
        <v>166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7"/>
      <c r="V63" s="269" t="s">
        <v>184</v>
      </c>
      <c r="W63" s="270"/>
      <c r="X63" s="270"/>
      <c r="Y63" s="271"/>
      <c r="Z63" s="323">
        <v>9.9</v>
      </c>
      <c r="AA63" s="328"/>
      <c r="AB63" s="328"/>
      <c r="AC63" s="328"/>
      <c r="AD63" s="328"/>
      <c r="AE63" s="328"/>
      <c r="AF63" s="328"/>
      <c r="AG63" s="328"/>
      <c r="AH63" s="115"/>
      <c r="AI63" s="116"/>
      <c r="AJ63" s="116"/>
      <c r="AK63" s="116"/>
      <c r="AL63" s="116"/>
      <c r="AM63" s="116"/>
      <c r="AN63" s="120" t="e">
        <f t="array" ref="AN63">-ROUND(SUM(IF(LEFT('[1]июнь 2020(2)'!$A$3:$A$145,2)="66",'[1]июнь 2020(2)'!$AW$3:$AW$145)),2)</f>
        <v>#REF!</v>
      </c>
      <c r="AP63" s="36">
        <v>661</v>
      </c>
    </row>
    <row r="64" spans="1:44" ht="13.5" customHeight="1">
      <c r="A64" s="304" t="s">
        <v>167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269" t="s">
        <v>185</v>
      </c>
      <c r="W64" s="270"/>
      <c r="X64" s="270"/>
      <c r="Y64" s="271"/>
      <c r="Z64" s="323"/>
      <c r="AA64" s="328"/>
      <c r="AB64" s="328"/>
      <c r="AC64" s="328"/>
      <c r="AD64" s="328"/>
      <c r="AE64" s="328"/>
      <c r="AF64" s="328"/>
      <c r="AG64" s="329"/>
      <c r="AH64" s="320"/>
      <c r="AI64" s="321"/>
      <c r="AJ64" s="321"/>
      <c r="AK64" s="321"/>
      <c r="AL64" s="321"/>
      <c r="AM64" s="321"/>
      <c r="AN64" s="322"/>
    </row>
    <row r="65" spans="1:46" ht="13.5" customHeight="1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69" t="s">
        <v>186</v>
      </c>
      <c r="W65" s="270"/>
      <c r="X65" s="270"/>
      <c r="Y65" s="271"/>
      <c r="Z65" s="278">
        <v>14798.5</v>
      </c>
      <c r="AA65" s="278"/>
      <c r="AB65" s="278"/>
      <c r="AC65" s="278"/>
      <c r="AD65" s="278"/>
      <c r="AE65" s="278"/>
      <c r="AF65" s="278"/>
      <c r="AG65" s="323"/>
      <c r="AH65" s="115"/>
      <c r="AI65" s="116"/>
      <c r="AJ65" s="116"/>
      <c r="AK65" s="116"/>
      <c r="AL65" s="116"/>
      <c r="AM65" s="116"/>
      <c r="AN65" s="35" t="e">
        <f t="array" ref="AN65">-ROUND(SUM(IF((LEFT('[1]июнь 2020(2)'!$A$3:$A$145,3)="372")+(LEFT('[1]июнь 2020(2)'!$A$3:$A$145,3)="378")+(LEFT('[1]июнь 2020(2)'!$A$3:$A$145,3)="644")+(LEFT('[1]июнь 2020(2)'!$A$3:$A$145,2)="67")+(LEFT('[1]июнь 2020(2)'!$A$3:$A$145,2)="68")-(LEFT('[1]июнь 2020(2)'!$A$3:$A$145,3)="684"),'[1]июнь 2020(2)'!$AW$3:$AW$145)),2)</f>
        <v>#REF!</v>
      </c>
      <c r="AP65" s="36">
        <v>372</v>
      </c>
      <c r="AQ65" s="119" t="s">
        <v>254</v>
      </c>
      <c r="AR65" s="119" t="s">
        <v>277</v>
      </c>
      <c r="AS65" s="119" t="s">
        <v>278</v>
      </c>
      <c r="AT65" s="119" t="s">
        <v>279</v>
      </c>
    </row>
    <row r="66" spans="1:46" ht="17.25" customHeight="1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69" t="s">
        <v>187</v>
      </c>
      <c r="W66" s="270"/>
      <c r="X66" s="270"/>
      <c r="Y66" s="271"/>
      <c r="Z66" s="324">
        <f>SUM(Z56:AG60,Z62:AG65)</f>
        <v>14810.8</v>
      </c>
      <c r="AA66" s="324"/>
      <c r="AB66" s="324"/>
      <c r="AC66" s="324"/>
      <c r="AD66" s="324"/>
      <c r="AE66" s="324"/>
      <c r="AF66" s="324"/>
      <c r="AG66" s="324"/>
      <c r="AH66" s="324" t="e">
        <f>SUM(AH56:AN60,AH62:AN65)</f>
        <v>#REF!</v>
      </c>
      <c r="AI66" s="324"/>
      <c r="AJ66" s="324"/>
      <c r="AK66" s="324"/>
      <c r="AL66" s="324"/>
      <c r="AM66" s="324"/>
      <c r="AN66" s="324"/>
    </row>
    <row r="67" spans="1:46" ht="26.25" customHeight="1">
      <c r="A67" s="315" t="s">
        <v>169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83" t="s">
        <v>188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115"/>
      <c r="AI67" s="116"/>
      <c r="AJ67" s="116"/>
      <c r="AK67" s="116"/>
      <c r="AL67" s="116"/>
      <c r="AM67" s="116"/>
      <c r="AN67" s="117" t="e">
        <f t="array" ref="AN67">-ROUND(SUM(IF(LEFT('[1]июнь 2020(2)'!$A$3:$A$145,3)="680",'[1]июнь 2020(2)'!$AW$3:$AW$145))/1000,1)</f>
        <v>#REF!</v>
      </c>
      <c r="AP67" s="119" t="s">
        <v>280</v>
      </c>
    </row>
    <row r="68" spans="1:46" ht="17.25" customHeight="1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22738</v>
      </c>
      <c r="AA68" s="319"/>
      <c r="AB68" s="319"/>
      <c r="AC68" s="319"/>
      <c r="AD68" s="319"/>
      <c r="AE68" s="319"/>
      <c r="AF68" s="319"/>
      <c r="AG68" s="319"/>
      <c r="AH68" s="399" t="e">
        <f>SUM(AH66:AN67,AH53,AH54:AN54)</f>
        <v>#REF!</v>
      </c>
      <c r="AI68" s="399"/>
      <c r="AJ68" s="399"/>
      <c r="AK68" s="399"/>
      <c r="AL68" s="399"/>
      <c r="AM68" s="399"/>
      <c r="AN68" s="399"/>
      <c r="AP68" s="40" t="e">
        <f>AH68-AH43</f>
        <v>#REF!</v>
      </c>
      <c r="AR68" s="41" t="e">
        <f>'[1]июнь 2020(2)'!$AW$144</f>
        <v>#REF!</v>
      </c>
      <c r="AS68" s="40" t="e">
        <f>AH68+AR68</f>
        <v>#REF!</v>
      </c>
    </row>
    <row r="69" spans="1:46" ht="12" customHeight="1">
      <c r="A69" s="106"/>
      <c r="B69" s="106"/>
      <c r="C69" s="106"/>
      <c r="D69" s="106"/>
      <c r="F69" s="106"/>
      <c r="G69" s="106"/>
      <c r="H69" s="106"/>
      <c r="I69" s="106"/>
      <c r="J69" s="106"/>
      <c r="K69" s="106"/>
      <c r="L69" s="5"/>
      <c r="V69" s="106"/>
    </row>
    <row r="70" spans="1:46" ht="14.25" customHeight="1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6" ht="12.75" customHeight="1">
      <c r="A71" s="313" t="s">
        <v>283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6" ht="14.25" customHeight="1">
      <c r="A72" s="27"/>
      <c r="B72" s="27"/>
      <c r="C72" s="27"/>
      <c r="D72" s="27"/>
      <c r="E72" s="28"/>
      <c r="F72" s="27"/>
      <c r="G72" s="29"/>
      <c r="H72" s="118"/>
      <c r="I72" s="118"/>
      <c r="J72" s="118"/>
      <c r="K72" s="11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6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6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</row>
    <row r="75" spans="1:46" ht="41.25" customHeight="1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6" ht="14.25" customHeight="1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6" ht="27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9" t="s">
        <v>194</v>
      </c>
      <c r="W77" s="249"/>
      <c r="X77" s="249"/>
      <c r="Y77" s="249"/>
      <c r="Z77" s="408">
        <f>ROUND('[3]2дс'!$G$19,2)</f>
        <v>20456801</v>
      </c>
      <c r="AA77" s="408"/>
      <c r="AB77" s="408"/>
      <c r="AC77" s="408"/>
      <c r="AD77" s="408"/>
      <c r="AE77" s="408"/>
      <c r="AF77" s="408"/>
      <c r="AG77" s="408"/>
      <c r="AH77" s="311">
        <v>19922.3</v>
      </c>
      <c r="AI77" s="307"/>
      <c r="AJ77" s="307"/>
      <c r="AK77" s="307"/>
      <c r="AL77" s="307"/>
      <c r="AM77" s="307"/>
      <c r="AN77" s="308"/>
      <c r="AO77" s="65"/>
    </row>
    <row r="78" spans="1:46" ht="14.25" customHeight="1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9" t="s">
        <v>195</v>
      </c>
      <c r="W78" s="249"/>
      <c r="X78" s="249"/>
      <c r="Y78" s="249"/>
      <c r="Z78" s="253"/>
      <c r="AA78" s="254"/>
      <c r="AB78" s="254"/>
      <c r="AC78" s="254"/>
      <c r="AD78" s="254"/>
      <c r="AE78" s="254"/>
      <c r="AF78" s="254"/>
      <c r="AG78" s="255"/>
      <c r="AH78" s="311">
        <v>0</v>
      </c>
      <c r="AI78" s="307"/>
      <c r="AJ78" s="307"/>
      <c r="AK78" s="307"/>
      <c r="AL78" s="307"/>
      <c r="AM78" s="307"/>
      <c r="AN78" s="308"/>
      <c r="AO78" s="65"/>
    </row>
    <row r="79" spans="1:46" ht="14.25" customHeight="1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9" t="s">
        <v>196</v>
      </c>
      <c r="W79" s="249"/>
      <c r="X79" s="249"/>
      <c r="Y79" s="249"/>
      <c r="Z79" s="405">
        <f>ROUND(('[3]2дс'!$G$20+'[3]2дс'!$G$21+'[3]2дс'!$G$22),1)</f>
        <v>392722.2</v>
      </c>
      <c r="AA79" s="406"/>
      <c r="AB79" s="406"/>
      <c r="AC79" s="406"/>
      <c r="AD79" s="406"/>
      <c r="AE79" s="406"/>
      <c r="AF79" s="406"/>
      <c r="AG79" s="407"/>
      <c r="AH79" s="311">
        <v>3314.7000000000003</v>
      </c>
      <c r="AI79" s="307"/>
      <c r="AJ79" s="307"/>
      <c r="AK79" s="307"/>
      <c r="AL79" s="307"/>
      <c r="AM79" s="307"/>
      <c r="AN79" s="308"/>
      <c r="AO79" s="65"/>
    </row>
    <row r="80" spans="1:46" ht="16.5" customHeight="1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252" t="s">
        <v>197</v>
      </c>
      <c r="W80" s="252"/>
      <c r="X80" s="252"/>
      <c r="Y80" s="252"/>
      <c r="Z80" s="312">
        <f>SUM(Z77:AG79)</f>
        <v>20849523.199999999</v>
      </c>
      <c r="AA80" s="312"/>
      <c r="AB80" s="312"/>
      <c r="AC80" s="312"/>
      <c r="AD80" s="312"/>
      <c r="AE80" s="312"/>
      <c r="AF80" s="312"/>
      <c r="AG80" s="312"/>
      <c r="AH80" s="299">
        <v>23237</v>
      </c>
      <c r="AI80" s="309"/>
      <c r="AJ80" s="309"/>
      <c r="AK80" s="309"/>
      <c r="AL80" s="309"/>
      <c r="AM80" s="309"/>
      <c r="AN80" s="310"/>
      <c r="AO80" s="66"/>
    </row>
    <row r="81" spans="1:41" ht="14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9" t="s">
        <v>198</v>
      </c>
      <c r="W81" s="249"/>
      <c r="X81" s="249"/>
      <c r="Y81" s="249"/>
      <c r="Z81" s="115" t="s">
        <v>117</v>
      </c>
      <c r="AA81" s="254">
        <f>241.4+2711</f>
        <v>2952.4</v>
      </c>
      <c r="AB81" s="254"/>
      <c r="AC81" s="254"/>
      <c r="AD81" s="254"/>
      <c r="AE81" s="254"/>
      <c r="AF81" s="254"/>
      <c r="AG81" s="116" t="s">
        <v>218</v>
      </c>
      <c r="AH81" s="67" t="s">
        <v>117</v>
      </c>
      <c r="AI81" s="307">
        <v>33.700000000000003</v>
      </c>
      <c r="AJ81" s="307"/>
      <c r="AK81" s="307"/>
      <c r="AL81" s="307"/>
      <c r="AM81" s="307"/>
      <c r="AN81" s="95" t="s">
        <v>218</v>
      </c>
    </row>
    <row r="82" spans="1:41" ht="14.25" customHeight="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9" t="s">
        <v>199</v>
      </c>
      <c r="W82" s="249"/>
      <c r="X82" s="249"/>
      <c r="Y82" s="249"/>
      <c r="Z82" s="115" t="s">
        <v>117</v>
      </c>
      <c r="AA82" s="254">
        <f>343.83+337795.95+486.8</f>
        <v>338626.58</v>
      </c>
      <c r="AB82" s="254"/>
      <c r="AC82" s="254"/>
      <c r="AD82" s="254"/>
      <c r="AE82" s="254"/>
      <c r="AF82" s="254"/>
      <c r="AG82" s="116" t="s">
        <v>218</v>
      </c>
      <c r="AH82" s="67" t="s">
        <v>117</v>
      </c>
      <c r="AI82" s="307">
        <v>338.2</v>
      </c>
      <c r="AJ82" s="307"/>
      <c r="AK82" s="307"/>
      <c r="AL82" s="307"/>
      <c r="AM82" s="307"/>
      <c r="AN82" s="95" t="s">
        <v>218</v>
      </c>
    </row>
    <row r="83" spans="1:41" ht="14.25" customHeight="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115" t="s">
        <v>117</v>
      </c>
      <c r="AA83" s="406">
        <f>ROUND(SUM(IF(LEFT('[1]июнь 2020(2)'!$A$1:$A$142,3)="791",'[1]июнь 2020(2)'!$AR$1:$AR$142)),1)+'1 кв2020 '!AA83:AF83-AA82+5893.7</f>
        <v>-319771.71000000002</v>
      </c>
      <c r="AB83" s="406"/>
      <c r="AC83" s="406"/>
      <c r="AD83" s="406"/>
      <c r="AE83" s="406"/>
      <c r="AF83" s="406"/>
      <c r="AG83" s="116" t="s">
        <v>218</v>
      </c>
      <c r="AH83" s="67" t="s">
        <v>117</v>
      </c>
      <c r="AI83" s="307">
        <v>21226.1</v>
      </c>
      <c r="AJ83" s="307"/>
      <c r="AK83" s="307"/>
      <c r="AL83" s="307"/>
      <c r="AM83" s="307"/>
      <c r="AN83" s="95" t="s">
        <v>218</v>
      </c>
    </row>
    <row r="84" spans="1:41" ht="16.5" customHeight="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115" t="s">
        <v>117</v>
      </c>
      <c r="AA84" s="300">
        <f>SUM(AA81:AF83)</f>
        <v>21807.270000000019</v>
      </c>
      <c r="AB84" s="300"/>
      <c r="AC84" s="300"/>
      <c r="AD84" s="300"/>
      <c r="AE84" s="300"/>
      <c r="AF84" s="300"/>
      <c r="AG84" s="116" t="s">
        <v>218</v>
      </c>
      <c r="AH84" s="67" t="s">
        <v>117</v>
      </c>
      <c r="AI84" s="302">
        <v>21598</v>
      </c>
      <c r="AJ84" s="302"/>
      <c r="AK84" s="302"/>
      <c r="AL84" s="302"/>
      <c r="AM84" s="302"/>
      <c r="AN84" s="96" t="s">
        <v>218</v>
      </c>
    </row>
    <row r="85" spans="1:41" ht="14.25" customHeight="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20827715.93</v>
      </c>
      <c r="AA85" s="272"/>
      <c r="AB85" s="272"/>
      <c r="AC85" s="272"/>
      <c r="AD85" s="272"/>
      <c r="AE85" s="272"/>
      <c r="AF85" s="272"/>
      <c r="AG85" s="272"/>
      <c r="AH85" s="306">
        <v>1639</v>
      </c>
      <c r="AI85" s="307"/>
      <c r="AJ85" s="307"/>
      <c r="AK85" s="307"/>
      <c r="AL85" s="307"/>
      <c r="AM85" s="307"/>
      <c r="AN85" s="308"/>
      <c r="AO85" s="65"/>
    </row>
    <row r="86" spans="1:41" ht="14.25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115" t="s">
        <v>117</v>
      </c>
      <c r="AA86" s="254"/>
      <c r="AB86" s="254"/>
      <c r="AC86" s="254"/>
      <c r="AD86" s="254"/>
      <c r="AE86" s="254"/>
      <c r="AF86" s="254"/>
      <c r="AG86" s="116" t="s">
        <v>218</v>
      </c>
      <c r="AH86" s="311" t="s">
        <v>117</v>
      </c>
      <c r="AI86" s="307"/>
      <c r="AJ86" s="307"/>
      <c r="AK86" s="307"/>
      <c r="AL86" s="307"/>
      <c r="AM86" s="307"/>
      <c r="AN86" s="308"/>
      <c r="AO86" s="65"/>
    </row>
    <row r="87" spans="1:41" ht="16.5" customHeight="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20827715.93</v>
      </c>
      <c r="AA87" s="300"/>
      <c r="AB87" s="300"/>
      <c r="AC87" s="300"/>
      <c r="AD87" s="300"/>
      <c r="AE87" s="300"/>
      <c r="AF87" s="300"/>
      <c r="AG87" s="301"/>
      <c r="AH87" s="299">
        <v>1639</v>
      </c>
      <c r="AI87" s="302"/>
      <c r="AJ87" s="302"/>
      <c r="AK87" s="302"/>
      <c r="AL87" s="302"/>
      <c r="AM87" s="302"/>
      <c r="AN87" s="303"/>
      <c r="AO87" s="65"/>
    </row>
    <row r="88" spans="1:41" ht="4.5" customHeight="1"/>
    <row r="89" spans="1:41" ht="15" customHeight="1">
      <c r="B89" s="247" t="s">
        <v>91</v>
      </c>
      <c r="C89" s="247"/>
      <c r="D89" s="247"/>
      <c r="E89" s="247"/>
      <c r="F89" s="247"/>
      <c r="G89" s="247"/>
      <c r="H89" s="247"/>
      <c r="I89" s="247"/>
      <c r="Q89" s="119"/>
      <c r="R89" s="119"/>
      <c r="S89" s="119"/>
      <c r="T89" s="119"/>
      <c r="U89" s="246"/>
      <c r="V89" s="246"/>
      <c r="W89" s="246"/>
      <c r="X89" s="246"/>
      <c r="AI89" s="243" t="s">
        <v>227</v>
      </c>
      <c r="AJ89" s="243"/>
      <c r="AK89" s="243"/>
      <c r="AL89" s="243"/>
      <c r="AM89" s="243"/>
    </row>
    <row r="90" spans="1:41">
      <c r="Q90" s="119"/>
      <c r="R90" s="119"/>
      <c r="S90" s="119"/>
      <c r="T90" s="119"/>
      <c r="U90" s="294" t="s">
        <v>94</v>
      </c>
      <c r="V90" s="294"/>
      <c r="W90" s="294"/>
      <c r="X90" s="294"/>
      <c r="AI90" s="294" t="s">
        <v>93</v>
      </c>
      <c r="AJ90" s="294"/>
      <c r="AK90" s="294"/>
      <c r="AL90" s="294"/>
      <c r="AM90" s="294"/>
    </row>
    <row r="91" spans="1:41" ht="4.5" customHeight="1">
      <c r="Q91" s="119"/>
      <c r="R91" s="119"/>
      <c r="S91" s="119"/>
      <c r="T91" s="119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119"/>
      <c r="R92" s="119"/>
      <c r="S92" s="119"/>
      <c r="T92" s="119"/>
      <c r="U92" s="246"/>
      <c r="V92" s="246"/>
      <c r="W92" s="246"/>
      <c r="X92" s="246"/>
      <c r="AI92" s="243" t="s">
        <v>228</v>
      </c>
      <c r="AJ92" s="243"/>
      <c r="AK92" s="243"/>
      <c r="AL92" s="243"/>
      <c r="AM92" s="243"/>
    </row>
    <row r="93" spans="1:41">
      <c r="Q93" s="119"/>
      <c r="R93" s="119"/>
      <c r="S93" s="119"/>
      <c r="T93" s="119"/>
      <c r="U93" s="294" t="s">
        <v>94</v>
      </c>
      <c r="V93" s="294"/>
      <c r="W93" s="294"/>
      <c r="X93" s="294"/>
      <c r="AI93" s="294" t="s">
        <v>93</v>
      </c>
      <c r="AJ93" s="294"/>
      <c r="AK93" s="294"/>
      <c r="AL93" s="294"/>
      <c r="AM93" s="294"/>
    </row>
    <row r="94" spans="1:41" ht="7.5" customHeight="1"/>
  </sheetData>
  <mergeCells count="280">
    <mergeCell ref="U93:X93"/>
    <mergeCell ref="AI93:AM93"/>
    <mergeCell ref="U90:X90"/>
    <mergeCell ref="AI90:AM90"/>
    <mergeCell ref="U91:X91"/>
    <mergeCell ref="AI91:AM91"/>
    <mergeCell ref="B92:I92"/>
    <mergeCell ref="U92:X92"/>
    <mergeCell ref="AI92:AM92"/>
    <mergeCell ref="A87:U87"/>
    <mergeCell ref="V87:Y87"/>
    <mergeCell ref="Z87:AG87"/>
    <mergeCell ref="AH87:AN87"/>
    <mergeCell ref="B89:I89"/>
    <mergeCell ref="U89:X89"/>
    <mergeCell ref="AI89:AM89"/>
    <mergeCell ref="A85:U85"/>
    <mergeCell ref="V85:Y85"/>
    <mergeCell ref="Z85:AG85"/>
    <mergeCell ref="AH85:AN85"/>
    <mergeCell ref="A86:U86"/>
    <mergeCell ref="V86:Y86"/>
    <mergeCell ref="AA86:AF86"/>
    <mergeCell ref="AH86:AN86"/>
    <mergeCell ref="A83:U83"/>
    <mergeCell ref="V83:Y83"/>
    <mergeCell ref="AA83:AF83"/>
    <mergeCell ref="AI83:AM83"/>
    <mergeCell ref="A84:U84"/>
    <mergeCell ref="V84:Y84"/>
    <mergeCell ref="AA84:AF84"/>
    <mergeCell ref="AI84:AM84"/>
    <mergeCell ref="A81:U81"/>
    <mergeCell ref="V81:Y81"/>
    <mergeCell ref="AA81:AF81"/>
    <mergeCell ref="AI81:AM81"/>
    <mergeCell ref="A82:U82"/>
    <mergeCell ref="V82:Y82"/>
    <mergeCell ref="AA82:AF82"/>
    <mergeCell ref="AI82:AM82"/>
    <mergeCell ref="A79:U79"/>
    <mergeCell ref="V79:Y79"/>
    <mergeCell ref="Z79:AG79"/>
    <mergeCell ref="AH79:AN79"/>
    <mergeCell ref="A80:U80"/>
    <mergeCell ref="V80:Y80"/>
    <mergeCell ref="Z80:AG80"/>
    <mergeCell ref="AH80:AN80"/>
    <mergeCell ref="A77:U77"/>
    <mergeCell ref="V77:Y77"/>
    <mergeCell ref="Z77:AG77"/>
    <mergeCell ref="AH77:AN77"/>
    <mergeCell ref="A78:U78"/>
    <mergeCell ref="V78:Y78"/>
    <mergeCell ref="Z78:AG78"/>
    <mergeCell ref="AH78:AN78"/>
    <mergeCell ref="A75:U75"/>
    <mergeCell ref="V75:Y75"/>
    <mergeCell ref="Z75:AG75"/>
    <mergeCell ref="AH75:AN75"/>
    <mergeCell ref="A76:U76"/>
    <mergeCell ref="V76:Y76"/>
    <mergeCell ref="Z76:AG76"/>
    <mergeCell ref="AH76:AN76"/>
    <mergeCell ref="AH68:AN68"/>
    <mergeCell ref="A70:AN70"/>
    <mergeCell ref="A71:AN71"/>
    <mergeCell ref="Z72:AG72"/>
    <mergeCell ref="Z73:AG73"/>
    <mergeCell ref="AH73:AN73"/>
    <mergeCell ref="A67:U67"/>
    <mergeCell ref="V67:Y67"/>
    <mergeCell ref="Z67:AG67"/>
    <mergeCell ref="A68:U68"/>
    <mergeCell ref="V68:Y68"/>
    <mergeCell ref="Z68:AG68"/>
    <mergeCell ref="AH64:AN64"/>
    <mergeCell ref="A65:U65"/>
    <mergeCell ref="V65:Y65"/>
    <mergeCell ref="Z65:AG65"/>
    <mergeCell ref="A66:U66"/>
    <mergeCell ref="V66:Y66"/>
    <mergeCell ref="Z66:AG66"/>
    <mergeCell ref="AH66:AN66"/>
    <mergeCell ref="A63:U63"/>
    <mergeCell ref="V63:Y63"/>
    <mergeCell ref="Z63:AG63"/>
    <mergeCell ref="A64:U64"/>
    <mergeCell ref="V64:Y64"/>
    <mergeCell ref="Z64:AG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60:U60"/>
    <mergeCell ref="V60:Y60"/>
    <mergeCell ref="Z60:AG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H52:AN52"/>
    <mergeCell ref="A53:U53"/>
    <mergeCell ref="V53:Y53"/>
    <mergeCell ref="Z53:AG53"/>
    <mergeCell ref="AH53:AN53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49:U49"/>
    <mergeCell ref="V49:Y49"/>
    <mergeCell ref="Z49:AG49"/>
    <mergeCell ref="A50:U50"/>
    <mergeCell ref="V50:Y50"/>
    <mergeCell ref="Z50:AG50"/>
    <mergeCell ref="A47:U47"/>
    <mergeCell ref="V47:Y47"/>
    <mergeCell ref="Z47:AG47"/>
    <mergeCell ref="AH47:AN47"/>
    <mergeCell ref="A48:U48"/>
    <mergeCell ref="V48:Y48"/>
    <mergeCell ref="Z48:AG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H41:AN41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41:U41"/>
    <mergeCell ref="V41:Y41"/>
    <mergeCell ref="Z41:AG41"/>
    <mergeCell ref="A38:U38"/>
    <mergeCell ref="V38:Y38"/>
    <mergeCell ref="Z38:AG38"/>
    <mergeCell ref="A39:U39"/>
    <mergeCell ref="V39:Y39"/>
    <mergeCell ref="Z39:AG39"/>
    <mergeCell ref="AH35:AN35"/>
    <mergeCell ref="A36:U36"/>
    <mergeCell ref="V36:Y36"/>
    <mergeCell ref="Z36:AG36"/>
    <mergeCell ref="A37:U37"/>
    <mergeCell ref="V37:Y37"/>
    <mergeCell ref="Z37:AG37"/>
    <mergeCell ref="A33:U33"/>
    <mergeCell ref="V33:Y33"/>
    <mergeCell ref="A34:U34"/>
    <mergeCell ref="V34:Y34"/>
    <mergeCell ref="Z34:AG34"/>
    <mergeCell ref="A35:U35"/>
    <mergeCell ref="V35:Y35"/>
    <mergeCell ref="Z35:AG35"/>
    <mergeCell ref="A31:U31"/>
    <mergeCell ref="V31:Y31"/>
    <mergeCell ref="Z31:AG31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H22:AN22"/>
    <mergeCell ref="A23:U23"/>
    <mergeCell ref="V23:Y23"/>
    <mergeCell ref="Z23:AG23"/>
    <mergeCell ref="A24:U24"/>
    <mergeCell ref="V24:Y24"/>
    <mergeCell ref="AB24:AD24"/>
    <mergeCell ref="AI24:AL24"/>
    <mergeCell ref="A21:U21"/>
    <mergeCell ref="V21:Y21"/>
    <mergeCell ref="Z21:AG21"/>
    <mergeCell ref="A22:U22"/>
    <mergeCell ref="V22:Y22"/>
    <mergeCell ref="Z22:AG22"/>
    <mergeCell ref="A19:U19"/>
    <mergeCell ref="V19:Y19"/>
    <mergeCell ref="Z19:AG19"/>
    <mergeCell ref="AH19:AN19"/>
    <mergeCell ref="A20:U20"/>
    <mergeCell ref="V20:Y20"/>
    <mergeCell ref="Z20:AG20"/>
    <mergeCell ref="AH20:AN20"/>
    <mergeCell ref="AH15:AN15"/>
    <mergeCell ref="I16:S16"/>
    <mergeCell ref="A18:U18"/>
    <mergeCell ref="V18:Y18"/>
    <mergeCell ref="Z18:AG18"/>
    <mergeCell ref="AH18:AN18"/>
    <mergeCell ref="A11:M11"/>
    <mergeCell ref="N11:Z11"/>
    <mergeCell ref="A12:Z12"/>
    <mergeCell ref="A13:F13"/>
    <mergeCell ref="I15:S15"/>
    <mergeCell ref="T15:Y15"/>
    <mergeCell ref="Z15:AG15"/>
    <mergeCell ref="A9:I9"/>
    <mergeCell ref="J9:Z9"/>
    <mergeCell ref="AB9:AG9"/>
    <mergeCell ref="W1:AN1"/>
    <mergeCell ref="A3:AN3"/>
    <mergeCell ref="A4:AN4"/>
    <mergeCell ref="AI5:AN5"/>
    <mergeCell ref="A6:AF6"/>
    <mergeCell ref="AI6:AK6"/>
    <mergeCell ref="AM6:AN6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V94"/>
  <sheetViews>
    <sheetView showGridLines="0" topLeftCell="A67" workbookViewId="0">
      <selection activeCell="AA83" sqref="AA83:AE83"/>
    </sheetView>
  </sheetViews>
  <sheetFormatPr defaultRowHeight="12.75"/>
  <cols>
    <col min="1" max="5" width="2.28515625" style="129" customWidth="1"/>
    <col min="6" max="6" width="2.7109375" style="129" customWidth="1"/>
    <col min="7" max="29" width="2.28515625" style="129" customWidth="1"/>
    <col min="30" max="34" width="2.28515625" style="146" customWidth="1"/>
    <col min="35" max="35" width="4.140625" style="146" customWidth="1"/>
    <col min="36" max="36" width="4.42578125" style="146" customWidth="1"/>
    <col min="37" max="37" width="2.28515625" style="146" hidden="1" customWidth="1"/>
    <col min="38" max="38" width="4.7109375" style="146" customWidth="1"/>
    <col min="39" max="39" width="2" style="146" customWidth="1"/>
    <col min="40" max="40" width="7.140625" style="146" customWidth="1"/>
    <col min="41" max="41" width="9.140625" style="146"/>
    <col min="42" max="42" width="13.28515625" style="146" customWidth="1"/>
    <col min="43" max="43" width="9.140625" style="146"/>
    <col min="44" max="44" width="11.7109375" style="146" customWidth="1"/>
    <col min="45" max="16384" width="9.140625" style="146"/>
  </cols>
  <sheetData>
    <row r="1" spans="1:40" ht="48.75" customHeight="1">
      <c r="W1" s="240" t="s">
        <v>208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</row>
    <row r="2" spans="1:40" ht="23.25" customHeight="1"/>
    <row r="3" spans="1:40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29.25" customHeight="1">
      <c r="A5" s="131"/>
      <c r="B5" s="131"/>
      <c r="C5" s="131"/>
      <c r="D5" s="131"/>
      <c r="E5" s="134"/>
      <c r="G5" s="131"/>
      <c r="H5" s="131"/>
      <c r="L5" s="5"/>
      <c r="AA5" s="134"/>
      <c r="AB5" s="134"/>
      <c r="AC5" s="134"/>
      <c r="AD5" s="134"/>
      <c r="AE5" s="134"/>
      <c r="AF5" s="134"/>
      <c r="AG5" s="134"/>
      <c r="AI5" s="256" t="s">
        <v>1</v>
      </c>
      <c r="AJ5" s="256"/>
      <c r="AK5" s="256"/>
      <c r="AL5" s="256"/>
      <c r="AM5" s="256"/>
      <c r="AN5" s="256"/>
    </row>
    <row r="6" spans="1:40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129"/>
      <c r="AI6" s="257" t="s">
        <v>243</v>
      </c>
      <c r="AJ6" s="258"/>
      <c r="AK6" s="259"/>
      <c r="AL6" s="150" t="s">
        <v>233</v>
      </c>
      <c r="AM6" s="284" t="s">
        <v>77</v>
      </c>
      <c r="AN6" s="284"/>
    </row>
    <row r="7" spans="1:40" ht="31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130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3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134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131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3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30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7.25" customHeight="1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246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130"/>
      <c r="AC11" s="132"/>
      <c r="AD11" s="132"/>
      <c r="AE11" s="132"/>
      <c r="AF11" s="132"/>
    </row>
    <row r="12" spans="1:40" ht="13.5" customHeight="1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130"/>
      <c r="AC12" s="12"/>
      <c r="AD12" s="12"/>
      <c r="AE12" s="129"/>
      <c r="AF12" s="129"/>
    </row>
    <row r="13" spans="1:40" ht="13.5" customHeight="1">
      <c r="A13" s="247" t="s">
        <v>130</v>
      </c>
      <c r="B13" s="247"/>
      <c r="C13" s="247"/>
      <c r="D13" s="247"/>
      <c r="E13" s="247"/>
      <c r="F13" s="247"/>
      <c r="AD13" s="129"/>
      <c r="AE13" s="129"/>
      <c r="AF13" s="129"/>
    </row>
    <row r="14" spans="1:40" ht="30" customHeight="1">
      <c r="C14" s="12"/>
      <c r="D14" s="12"/>
      <c r="E14" s="12"/>
      <c r="F14" s="12"/>
      <c r="L14" s="5"/>
    </row>
    <row r="15" spans="1:40" ht="15" customHeight="1">
      <c r="I15" s="260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 t="s">
        <v>215</v>
      </c>
      <c r="U15" s="260"/>
      <c r="V15" s="260"/>
      <c r="W15" s="260"/>
      <c r="X15" s="260"/>
      <c r="Y15" s="260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 ht="10.5" customHeight="1">
      <c r="I16" s="289" t="s">
        <v>287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46" ht="7.5" customHeight="1">
      <c r="G17" s="15"/>
      <c r="H17" s="15"/>
      <c r="L17" s="5"/>
    </row>
    <row r="18" spans="1:46" ht="27.7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65" t="s">
        <v>170</v>
      </c>
      <c r="W18" s="263"/>
      <c r="X18" s="263"/>
      <c r="Y18" s="264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 ht="15" customHeight="1">
      <c r="A19" s="269">
        <v>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 ht="19.5" customHeight="1">
      <c r="A20" s="355" t="s">
        <v>21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390"/>
      <c r="AI20" s="390"/>
      <c r="AJ20" s="390"/>
      <c r="AK20" s="390"/>
      <c r="AL20" s="390"/>
      <c r="AM20" s="390"/>
      <c r="AN20" s="390"/>
    </row>
    <row r="21" spans="1:46" ht="15" customHeight="1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367">
        <v>127.2</v>
      </c>
      <c r="AA21" s="368">
        <v>127.2</v>
      </c>
      <c r="AB21" s="368">
        <v>127.2</v>
      </c>
      <c r="AC21" s="368">
        <v>127.2</v>
      </c>
      <c r="AD21" s="368">
        <v>127.2</v>
      </c>
      <c r="AE21" s="368">
        <v>127.2</v>
      </c>
      <c r="AF21" s="368">
        <v>127.2</v>
      </c>
      <c r="AG21" s="369">
        <v>127.2</v>
      </c>
      <c r="AH21" s="24"/>
      <c r="AI21" s="147"/>
      <c r="AJ21" s="147"/>
      <c r="AK21" s="147"/>
      <c r="AL21" s="147"/>
      <c r="AM21" s="147"/>
      <c r="AN21" s="148" t="e">
        <f t="array" ref="AN21">ROUND(SUM(IF(LEFT('[1]сентябрь 2020'!$A$3:$A$150,2)="15",'[1]сентябрь 2020'!$AV$3:$AV$150))/1000,1)</f>
        <v>#REF!</v>
      </c>
      <c r="AP21" s="93" t="s">
        <v>247</v>
      </c>
    </row>
    <row r="22" spans="1:46" ht="15" customHeight="1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Z23-AB24</f>
        <v>4524.1000000000004</v>
      </c>
      <c r="AA22" s="278"/>
      <c r="AB22" s="278"/>
      <c r="AC22" s="278"/>
      <c r="AD22" s="278"/>
      <c r="AE22" s="278"/>
      <c r="AF22" s="278"/>
      <c r="AG22" s="278"/>
      <c r="AH22" s="387" t="e">
        <f>AN23-AI24</f>
        <v>#REF!</v>
      </c>
      <c r="AI22" s="379"/>
      <c r="AJ22" s="379"/>
      <c r="AK22" s="379"/>
      <c r="AL22" s="379"/>
      <c r="AM22" s="379"/>
      <c r="AN22" s="379"/>
    </row>
    <row r="23" spans="1:46" ht="15" customHeight="1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14034.5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24"/>
      <c r="AI23" s="143"/>
      <c r="AJ23" s="143"/>
      <c r="AK23" s="143"/>
      <c r="AL23" s="143"/>
      <c r="AM23" s="137"/>
      <c r="AN23" s="148" t="e">
        <f t="array" ref="AN23">ROUND(SUM(IF((LEFT('[1]сентябрь 2020'!$A$3:$A$150,2)="10")+(LEFT('[1]сентябрь 2020'!$A$3:$A$150,2)="11"),'[1]сентябрь 2020'!$AV$3:$AV$150))/1000,1)</f>
        <v>#REF!</v>
      </c>
      <c r="AP23" s="93" t="s">
        <v>232</v>
      </c>
      <c r="AQ23" s="93" t="s">
        <v>233</v>
      </c>
    </row>
    <row r="24" spans="1:46" ht="15" customHeight="1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129" t="s">
        <v>219</v>
      </c>
      <c r="AA24" s="143"/>
      <c r="AB24" s="389">
        <v>9510.4</v>
      </c>
      <c r="AC24" s="389"/>
      <c r="AD24" s="389"/>
      <c r="AE24" s="135"/>
      <c r="AF24" s="143" t="s">
        <v>218</v>
      </c>
      <c r="AG24" s="144"/>
      <c r="AH24" s="140" t="s">
        <v>219</v>
      </c>
      <c r="AI24" s="389" t="e">
        <f t="array" ref="AI24">-ROUND(SUM(IF((LEFT('[1]сентябрь 2020'!$A$3:$A$145,3)="131")+(LEFT('[1]сентябрь 2020'!$A$3:$A$145,3)="132")+(LEFT('[1]сентябрь 2020'!$A$3:$A$145,3)="135"),'[1]сентябрь 2020'!$AW$3:$AW$145))/1000,1)</f>
        <v>#REF!</v>
      </c>
      <c r="AJ24" s="389"/>
      <c r="AK24" s="389"/>
      <c r="AL24" s="389"/>
      <c r="AM24" s="92"/>
      <c r="AN24" s="141" t="s">
        <v>218</v>
      </c>
      <c r="AP24" s="94">
        <v>131</v>
      </c>
      <c r="AQ24" s="94">
        <v>132</v>
      </c>
      <c r="AR24" s="93" t="s">
        <v>248</v>
      </c>
    </row>
    <row r="25" spans="1:46" ht="15" customHeight="1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278"/>
      <c r="AA25" s="278"/>
      <c r="AB25" s="278"/>
      <c r="AC25" s="278"/>
      <c r="AD25" s="278"/>
      <c r="AE25" s="278"/>
      <c r="AF25" s="278"/>
      <c r="AG25" s="278"/>
      <c r="AH25" s="358"/>
      <c r="AI25" s="279"/>
      <c r="AJ25" s="279"/>
      <c r="AK25" s="279"/>
      <c r="AL25" s="279"/>
      <c r="AM25" s="358"/>
      <c r="AN25" s="279"/>
      <c r="AP25" s="146" t="s">
        <v>249</v>
      </c>
      <c r="AQ25" s="146" t="s">
        <v>250</v>
      </c>
      <c r="AR25" s="146" t="s">
        <v>251</v>
      </c>
    </row>
    <row r="26" spans="1:46" ht="15" customHeight="1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  <c r="AT26" s="151" t="s">
        <v>288</v>
      </c>
    </row>
    <row r="27" spans="1:46" ht="15" customHeight="1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</row>
    <row r="28" spans="1:46" ht="19.5" customHeight="1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15" t="s">
        <v>142</v>
      </c>
      <c r="W28" s="316"/>
      <c r="X28" s="316"/>
      <c r="Y28" s="317"/>
      <c r="Z28" s="318">
        <f>Z22+Z25+Z26+Z27+Z21</f>
        <v>4651.3</v>
      </c>
      <c r="AA28" s="319"/>
      <c r="AB28" s="319"/>
      <c r="AC28" s="319"/>
      <c r="AD28" s="319"/>
      <c r="AE28" s="319"/>
      <c r="AF28" s="319"/>
      <c r="AG28" s="319"/>
      <c r="AH28" s="318" t="e">
        <f>AH22+AH25+AH26+AH27+AN21</f>
        <v>#REF!</v>
      </c>
      <c r="AI28" s="319"/>
      <c r="AJ28" s="319"/>
      <c r="AK28" s="319"/>
      <c r="AL28" s="319"/>
      <c r="AM28" s="319"/>
      <c r="AN28" s="319"/>
    </row>
    <row r="29" spans="1:46" ht="19.5" customHeight="1">
      <c r="A29" s="355" t="s">
        <v>31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7"/>
      <c r="V29" s="273"/>
      <c r="W29" s="273"/>
      <c r="X29" s="273"/>
      <c r="Y29" s="273"/>
      <c r="Z29" s="278"/>
      <c r="AA29" s="278"/>
      <c r="AB29" s="278"/>
      <c r="AC29" s="278"/>
      <c r="AD29" s="278"/>
      <c r="AE29" s="278"/>
      <c r="AF29" s="278"/>
      <c r="AG29" s="278"/>
      <c r="AH29" s="370"/>
      <c r="AI29" s="370"/>
      <c r="AJ29" s="370"/>
      <c r="AK29" s="370"/>
      <c r="AL29" s="370"/>
      <c r="AM29" s="370"/>
      <c r="AN29" s="370"/>
    </row>
    <row r="30" spans="1:46" ht="15" customHeight="1">
      <c r="A30" s="304" t="s">
        <v>132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65" t="s">
        <v>143</v>
      </c>
      <c r="W30" s="266"/>
      <c r="X30" s="266"/>
      <c r="Y30" s="267"/>
      <c r="Z30" s="367">
        <v>16804</v>
      </c>
      <c r="AA30" s="368"/>
      <c r="AB30" s="368"/>
      <c r="AC30" s="368"/>
      <c r="AD30" s="368"/>
      <c r="AE30" s="368"/>
      <c r="AF30" s="368"/>
      <c r="AG30" s="369"/>
      <c r="AH30" s="142"/>
      <c r="AI30" s="143"/>
      <c r="AJ30" s="143"/>
      <c r="AK30" s="143"/>
      <c r="AL30" s="143"/>
      <c r="AM30" s="143"/>
      <c r="AN30" s="148" t="e">
        <f t="array" ref="AN30">ROUND(SUM(IF((LEFT('[1]сентябрь 2020'!$A$3:$A$150,2)="20")+(LEFT('[1]сентябрь 2020'!$A$3:$A$150,2)="22")+(LEFT('[1]сентябрь 2020'!$A$3:$A$150,2)="23")-(LEFT('[1]сентябрь 2020'!$A$3:$A$150,3)="286"),'[1]сентябрь 2020'!$AV$3:$AV$150))/1000,1)</f>
        <v>#REF!</v>
      </c>
      <c r="AP30" s="94">
        <v>20</v>
      </c>
      <c r="AQ30" s="94">
        <v>22</v>
      </c>
      <c r="AR30" s="94">
        <v>23</v>
      </c>
      <c r="AS30" s="36">
        <v>-286</v>
      </c>
      <c r="AT30" s="36"/>
    </row>
    <row r="31" spans="1:46" ht="15" customHeight="1">
      <c r="A31" s="325" t="s">
        <v>210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7"/>
      <c r="V31" s="265" t="s">
        <v>144</v>
      </c>
      <c r="W31" s="266"/>
      <c r="X31" s="266"/>
      <c r="Y31" s="267"/>
      <c r="Z31" s="383"/>
      <c r="AA31" s="384"/>
      <c r="AB31" s="384"/>
      <c r="AC31" s="384"/>
      <c r="AD31" s="384"/>
      <c r="AE31" s="384"/>
      <c r="AF31" s="384"/>
      <c r="AG31" s="385"/>
      <c r="AH31" s="331"/>
      <c r="AI31" s="332"/>
      <c r="AJ31" s="332"/>
      <c r="AK31" s="332"/>
      <c r="AL31" s="332"/>
      <c r="AM31" s="332"/>
      <c r="AN31" s="333"/>
    </row>
    <row r="32" spans="1:46" ht="15" customHeight="1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386"/>
      <c r="AA32" s="386"/>
      <c r="AB32" s="386"/>
      <c r="AC32" s="386"/>
      <c r="AD32" s="386"/>
      <c r="AE32" s="386"/>
      <c r="AF32" s="386"/>
      <c r="AG32" s="386"/>
      <c r="AH32" s="370"/>
      <c r="AI32" s="370"/>
      <c r="AJ32" s="370"/>
      <c r="AK32" s="370"/>
      <c r="AL32" s="370"/>
      <c r="AM32" s="370"/>
      <c r="AN32" s="370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42"/>
      <c r="AA33" s="43"/>
      <c r="AB33" s="43"/>
      <c r="AC33" s="43"/>
      <c r="AD33" s="43"/>
      <c r="AE33" s="43"/>
      <c r="AF33" s="43"/>
      <c r="AG33" s="44"/>
      <c r="AH33" s="138"/>
      <c r="AI33" s="139"/>
      <c r="AJ33" s="139"/>
      <c r="AK33" s="139"/>
      <c r="AL33" s="139"/>
      <c r="AM33" s="139"/>
      <c r="AN33" s="38" t="e">
        <f t="array" ref="AN33">ROUND(SUM(IF((LEFT('[1]сентябрь 2020'!$A$3:$A$150,2)="34")+(LEFT('[1]сентябрь 2020'!$A$3:$A$150,2)="36"),'[1]сентябрь 2020'!$AV$3:$AV$150))/1000,1)</f>
        <v>#REF!</v>
      </c>
      <c r="AP33" s="93" t="s">
        <v>252</v>
      </c>
      <c r="AQ33" s="93" t="s">
        <v>253</v>
      </c>
    </row>
    <row r="34" spans="1:48" ht="15" customHeight="1">
      <c r="A34" s="304" t="s">
        <v>36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265" t="s">
        <v>147</v>
      </c>
      <c r="W34" s="266"/>
      <c r="X34" s="266"/>
      <c r="Y34" s="267"/>
      <c r="Z34" s="367">
        <v>12.3</v>
      </c>
      <c r="AA34" s="368"/>
      <c r="AB34" s="368"/>
      <c r="AC34" s="368"/>
      <c r="AD34" s="368"/>
      <c r="AE34" s="368"/>
      <c r="AF34" s="368"/>
      <c r="AG34" s="369"/>
      <c r="AH34" s="142"/>
      <c r="AI34" s="143"/>
      <c r="AJ34" s="143"/>
      <c r="AK34" s="143"/>
      <c r="AL34" s="143"/>
      <c r="AM34" s="143"/>
      <c r="AN34" s="148" t="e">
        <f t="array" ref="AN34">ROUND(SUM(IF((LEFT('[1]сентябрь 2020'!$A$3:$A$150,3)="378")+(LEFT('[1]сентябрь 2020'!$A$3:$A$150,3)="641")+(LEFT('[1]сентябрь 2020'!$A$3:$A$150,3)="642")++(LEFT('[1]сентябрь 2020'!$A$3:$A$150,3)="651")+(LEFT('[1]сентябрь 2020'!$A$3:$A$150,3)="652"),'[1]сентябрь 2020'!$AV$3:$AV$150))/1000,1)</f>
        <v>#REF!</v>
      </c>
      <c r="AP34" s="93" t="s">
        <v>254</v>
      </c>
      <c r="AQ34" s="93" t="s">
        <v>255</v>
      </c>
      <c r="AR34" s="93" t="s">
        <v>256</v>
      </c>
      <c r="AS34" s="93" t="s">
        <v>257</v>
      </c>
      <c r="AT34" s="93" t="s">
        <v>258</v>
      </c>
    </row>
    <row r="35" spans="1:48" ht="15" customHeight="1">
      <c r="A35" s="325" t="s">
        <v>164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  <c r="V35" s="265" t="s">
        <v>148</v>
      </c>
      <c r="W35" s="266"/>
      <c r="X35" s="266"/>
      <c r="Y35" s="267"/>
      <c r="Z35" s="380"/>
      <c r="AA35" s="381"/>
      <c r="AB35" s="381"/>
      <c r="AC35" s="381"/>
      <c r="AD35" s="381"/>
      <c r="AE35" s="381"/>
      <c r="AF35" s="381"/>
      <c r="AG35" s="382"/>
      <c r="AH35" s="375"/>
      <c r="AI35" s="376"/>
      <c r="AJ35" s="376"/>
      <c r="AK35" s="376"/>
      <c r="AL35" s="376"/>
      <c r="AM35" s="376"/>
      <c r="AN35" s="377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367">
        <v>1259.7</v>
      </c>
      <c r="AA36" s="368"/>
      <c r="AB36" s="368"/>
      <c r="AC36" s="368"/>
      <c r="AD36" s="368"/>
      <c r="AE36" s="368"/>
      <c r="AF36" s="368"/>
      <c r="AG36" s="369"/>
      <c r="AH36" s="142"/>
      <c r="AI36" s="143"/>
      <c r="AJ36" s="143"/>
      <c r="AK36" s="143"/>
      <c r="AL36" s="143"/>
      <c r="AM36" s="143"/>
      <c r="AN36" s="38" t="e">
        <f t="array" ref="AN36">ROUND(SUM(IF((LEFT('[1]сентябрь 2020'!$A$3:$A$150,2)="37")-(LEFT('[1]сентябрь 2020'!$A$3:$A$150,3)="378")+(LEFT('[1]сентябрь 2020'!$A$3:$A$150,2)="66")+(LEFT('[1]сентябрь 2020'!$A$3:$A$150,2)="68")+(LEFT('[1]сентябрь 2020'!$A$3:$A$150,3)="653")+(LEFT('[1]сентябрь 2020'!$A$3:$A$150,2)="654")+(LEFT('[1]сентябрь 2020'!$A$3:$A$150,5)="644/1"),'[1]сентябрь 2020'!$AV$3:$AV$150))/1000,1)</f>
        <v>#REF!</v>
      </c>
      <c r="AP36" s="93" t="s">
        <v>259</v>
      </c>
      <c r="AQ36" s="93" t="s">
        <v>260</v>
      </c>
      <c r="AR36" s="93" t="s">
        <v>261</v>
      </c>
      <c r="AS36" s="93" t="s">
        <v>262</v>
      </c>
      <c r="AT36" s="93" t="s">
        <v>263</v>
      </c>
      <c r="AU36" s="93"/>
      <c r="AV36" s="93" t="s">
        <v>285</v>
      </c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378"/>
      <c r="AA37" s="378"/>
      <c r="AB37" s="378"/>
      <c r="AC37" s="378"/>
      <c r="AD37" s="378"/>
      <c r="AE37" s="378"/>
      <c r="AF37" s="378"/>
      <c r="AG37" s="378"/>
      <c r="AH37" s="142"/>
      <c r="AI37" s="143"/>
      <c r="AJ37" s="143"/>
      <c r="AK37" s="143"/>
      <c r="AL37" s="143"/>
      <c r="AM37" s="143"/>
      <c r="AN37" s="144" t="e">
        <f t="array" ref="AN37">ROUND(SUM(IF(LEFT('[1]сентябрь 2020'!$A$3:$A$150,3)="352",'[1]сентябрь 2020'!$AV$3:$AV$150))/1000,1)</f>
        <v>#REF!</v>
      </c>
      <c r="AP37" s="93" t="s">
        <v>284</v>
      </c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367">
        <v>10.7</v>
      </c>
      <c r="AA38" s="368"/>
      <c r="AB38" s="368"/>
      <c r="AC38" s="368"/>
      <c r="AD38" s="368"/>
      <c r="AE38" s="368"/>
      <c r="AF38" s="368"/>
      <c r="AG38" s="369"/>
      <c r="AH38" s="142"/>
      <c r="AI38" s="143"/>
      <c r="AJ38" s="143"/>
      <c r="AK38" s="143"/>
      <c r="AL38" s="143"/>
      <c r="AM38" s="143"/>
      <c r="AN38" s="148" t="e">
        <f t="array" ref="AN38">ROUND(SUM(IF((LEFT('[1]сентябрь 2020'!$A$3:$A$150,2)="30")+(LEFT('[1]сентябрь 2020'!$A$3:$A$150,2)="31")+(LEFT('[1]сентябрь 2020'!$A$3:$A$150,3)="333")+((LEFT('[1]сентябрь 2020'!$A$3:$A$150,3)="334")+(LEFT('[1]сентябрь 2020'!$A$3:$A$150,3)="335")+(LEFT('[1]сентябрь 2020'!$A$3:$A$150,3)="351")),'[1]сентябрь 2020'!$AV$3:$AV$150))/1000,1)</f>
        <v>#REF!</v>
      </c>
      <c r="AP38" s="94">
        <v>30</v>
      </c>
      <c r="AQ38" s="94">
        <v>31</v>
      </c>
      <c r="AR38" s="94">
        <v>333</v>
      </c>
      <c r="AS38" s="93" t="s">
        <v>264</v>
      </c>
      <c r="AT38" s="93" t="s">
        <v>265</v>
      </c>
      <c r="AU38" s="93" t="s">
        <v>266</v>
      </c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358"/>
      <c r="AA39" s="358"/>
      <c r="AB39" s="358"/>
      <c r="AC39" s="358"/>
      <c r="AD39" s="358"/>
      <c r="AE39" s="358"/>
      <c r="AF39" s="358"/>
      <c r="AG39" s="358"/>
      <c r="AH39" s="142"/>
      <c r="AI39" s="143"/>
      <c r="AJ39" s="143"/>
      <c r="AK39" s="143"/>
      <c r="AL39" s="143"/>
      <c r="AM39" s="143"/>
      <c r="AN39" s="148" t="e">
        <f t="array" ref="AN39">ROUND(SUM(IF((LEFT('[1]сентябрь 2020'!$A$3:$A$150,2)="39"),'[1]сентябрь 2020'!$AV$3:$AV$150))/1000,1)</f>
        <v>#REF!</v>
      </c>
      <c r="AP39" s="93" t="s">
        <v>269</v>
      </c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279"/>
      <c r="AA40" s="279"/>
      <c r="AB40" s="279"/>
      <c r="AC40" s="279"/>
      <c r="AD40" s="279"/>
      <c r="AE40" s="279"/>
      <c r="AF40" s="279"/>
      <c r="AG40" s="279"/>
      <c r="AH40" s="142"/>
      <c r="AI40" s="143"/>
      <c r="AJ40" s="143"/>
      <c r="AK40" s="143"/>
      <c r="AL40" s="143"/>
      <c r="AM40" s="143"/>
      <c r="AN40" s="148" t="e">
        <f t="array" ref="AN40">ROUND(SUM(IF((LEFT('[1]сентябрь 2020'!$A$3:$A$150,3)="331")+(LEFT('[1]сентябрь 2020'!$A$3:$A$150,3)="332"),'[1]сентябрь 2020'!$AV$3:$AV$150))/1000,1)</f>
        <v>#REF!</v>
      </c>
      <c r="AP40" s="93" t="s">
        <v>267</v>
      </c>
      <c r="AQ40" s="93" t="s">
        <v>268</v>
      </c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364">
        <v>18086.7</v>
      </c>
      <c r="AA41" s="365"/>
      <c r="AB41" s="365"/>
      <c r="AC41" s="365"/>
      <c r="AD41" s="365"/>
      <c r="AE41" s="365"/>
      <c r="AF41" s="365"/>
      <c r="AG41" s="366"/>
      <c r="AH41" s="318" t="e">
        <f>SUM(AN30,AH32:AN34,AH36:AN40)</f>
        <v>#REF!</v>
      </c>
      <c r="AI41" s="318"/>
      <c r="AJ41" s="318"/>
      <c r="AK41" s="318"/>
      <c r="AL41" s="318"/>
      <c r="AM41" s="318"/>
      <c r="AN41" s="413"/>
    </row>
    <row r="42" spans="1:48" ht="28.5" customHeight="1">
      <c r="A42" s="283" t="s">
        <v>207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</row>
    <row r="43" spans="1:48" ht="22.5" customHeight="1">
      <c r="A43" s="372" t="s">
        <v>44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4"/>
      <c r="V43" s="371" t="s">
        <v>156</v>
      </c>
      <c r="W43" s="371"/>
      <c r="X43" s="371"/>
      <c r="Y43" s="371"/>
      <c r="Z43" s="318">
        <f>Z28+Z41+Z42</f>
        <v>22738</v>
      </c>
      <c r="AA43" s="319"/>
      <c r="AB43" s="319"/>
      <c r="AC43" s="319"/>
      <c r="AD43" s="319"/>
      <c r="AE43" s="319"/>
      <c r="AF43" s="319"/>
      <c r="AG43" s="319"/>
      <c r="AH43" s="318" t="e">
        <f>AH28+AH41+AH42</f>
        <v>#REF!</v>
      </c>
      <c r="AI43" s="319"/>
      <c r="AJ43" s="319"/>
      <c r="AK43" s="319"/>
      <c r="AL43" s="319"/>
      <c r="AM43" s="319"/>
      <c r="AN43" s="319"/>
      <c r="AP43" s="40" t="e">
        <f>AH43+AR68</f>
        <v>#REF!</v>
      </c>
    </row>
    <row r="44" spans="1:48" ht="4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136"/>
      <c r="AI44" s="136"/>
      <c r="AJ44" s="136"/>
      <c r="AK44" s="136"/>
      <c r="AL44" s="136"/>
      <c r="AM44" s="136"/>
      <c r="AN44" s="136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69">
        <v>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81">
        <v>2</v>
      </c>
      <c r="W46" s="281"/>
      <c r="X46" s="281"/>
      <c r="Y46" s="281"/>
      <c r="Z46" s="253">
        <v>3</v>
      </c>
      <c r="AA46" s="254"/>
      <c r="AB46" s="254"/>
      <c r="AC46" s="254"/>
      <c r="AD46" s="254"/>
      <c r="AE46" s="254"/>
      <c r="AF46" s="254"/>
      <c r="AG46" s="255"/>
      <c r="AH46" s="253">
        <v>4</v>
      </c>
      <c r="AI46" s="254"/>
      <c r="AJ46" s="254"/>
      <c r="AK46" s="254"/>
      <c r="AL46" s="254"/>
      <c r="AM46" s="254"/>
      <c r="AN46" s="255"/>
    </row>
    <row r="47" spans="1:48" ht="19.5" customHeight="1">
      <c r="A47" s="355" t="s">
        <v>46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7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370"/>
      <c r="AI47" s="370"/>
      <c r="AJ47" s="370"/>
      <c r="AK47" s="370"/>
      <c r="AL47" s="370"/>
      <c r="AM47" s="370"/>
      <c r="AN47" s="370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367">
        <v>5934.6</v>
      </c>
      <c r="AA48" s="368"/>
      <c r="AB48" s="368"/>
      <c r="AC48" s="368"/>
      <c r="AD48" s="368"/>
      <c r="AE48" s="368"/>
      <c r="AF48" s="368"/>
      <c r="AG48" s="369"/>
      <c r="AH48" s="142"/>
      <c r="AI48" s="143"/>
      <c r="AJ48" s="143"/>
      <c r="AK48" s="143"/>
      <c r="AL48" s="143"/>
      <c r="AM48" s="143"/>
      <c r="AN48" s="148" t="e">
        <f t="array" ref="AN48">-ROUND(SUM(IF(LEFT('[1]сентябрь 2020'!$A$3:$A$150,2)="40",'[1]сентябрь 2020'!$AW$3:$AW$150))/1000,1)</f>
        <v>#REF!</v>
      </c>
      <c r="AP48" s="94">
        <v>40</v>
      </c>
    </row>
    <row r="49" spans="1:44" ht="13.5" customHeight="1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142"/>
      <c r="AI49" s="143"/>
      <c r="AJ49" s="143"/>
      <c r="AK49" s="143"/>
      <c r="AL49" s="143"/>
      <c r="AM49" s="143"/>
      <c r="AN49" s="144" t="e">
        <f t="array" ref="AN49">-ROUND(SUM(IF((LEFT('[1]сентябрь 2020'!$A$3:$A$150,2)="41"),'[1]сентябрь 2020'!$AW$3:$AW$150))/1000,1)-ROUND(SUM(IF((LEFT('[1]сентябрь 2020'!$A$3:$A$150,2)="42"),'[1]сентябрь 2020'!$AW$3:$AW$150))/1000,1)</f>
        <v>#REF!</v>
      </c>
      <c r="AP49" s="146" t="s">
        <v>270</v>
      </c>
      <c r="AQ49" s="146" t="s">
        <v>271</v>
      </c>
    </row>
    <row r="50" spans="1:44" ht="13.5" customHeight="1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142"/>
      <c r="AI50" s="143"/>
      <c r="AJ50" s="143"/>
      <c r="AK50" s="143"/>
      <c r="AL50" s="143"/>
      <c r="AM50" s="143"/>
      <c r="AN50" s="144" t="e">
        <f t="array" ref="AN50">-ROUND(SUM(IF(LEFT('[1]сентябрь 2020'!$A$3:$A$150,2)="43",'[1]сентябрь 2020'!$AW$3:$AW$150))/1000,1)</f>
        <v>#REF!</v>
      </c>
      <c r="AP50" s="146" t="s">
        <v>272</v>
      </c>
    </row>
    <row r="51" spans="1:44" ht="13.5" customHeight="1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367">
        <v>1865.4</v>
      </c>
      <c r="AA51" s="368"/>
      <c r="AB51" s="368"/>
      <c r="AC51" s="368"/>
      <c r="AD51" s="368"/>
      <c r="AE51" s="368"/>
      <c r="AF51" s="368"/>
      <c r="AG51" s="369"/>
      <c r="AH51" s="142"/>
      <c r="AI51" s="143"/>
      <c r="AJ51" s="143"/>
      <c r="AK51" s="143"/>
      <c r="AL51" s="143"/>
      <c r="AM51" s="143"/>
      <c r="AN51" s="148" t="e">
        <f t="array" ref="AN51">-ROUND(SUM(IF((LEFT('[1]сентябрь 2020'!$A$3:$A$150,3)="791"),'[1]сентябрь 2020'!$AW$3:$AW$150))/1000,1)-ROUND(SUM(IF((LEFT('[1]сентябрь 2020'!$A$3:$A$150,3)="441"),'[1]сентябрь 2020'!$AW$3:$AW$150))/1000,1)</f>
        <v>#REF!</v>
      </c>
      <c r="AP51" s="36">
        <v>441</v>
      </c>
      <c r="AQ51" s="36"/>
    </row>
    <row r="52" spans="1:44" ht="13.5" customHeight="1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253" t="s">
        <v>117</v>
      </c>
      <c r="AA52" s="254"/>
      <c r="AB52" s="254"/>
      <c r="AC52" s="254"/>
      <c r="AD52" s="254"/>
      <c r="AE52" s="254"/>
      <c r="AF52" s="254"/>
      <c r="AG52" s="255"/>
      <c r="AH52" s="359" t="s">
        <v>118</v>
      </c>
      <c r="AI52" s="360"/>
      <c r="AJ52" s="360"/>
      <c r="AK52" s="360"/>
      <c r="AL52" s="360"/>
      <c r="AM52" s="360"/>
      <c r="AN52" s="361"/>
    </row>
    <row r="53" spans="1:44" ht="19.5" customHeight="1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62">
        <f>SUM(Z48:AG52)</f>
        <v>7800</v>
      </c>
      <c r="AA53" s="363"/>
      <c r="AB53" s="363"/>
      <c r="AC53" s="363"/>
      <c r="AD53" s="363"/>
      <c r="AE53" s="363"/>
      <c r="AF53" s="363"/>
      <c r="AG53" s="363"/>
      <c r="AH53" s="363" t="e">
        <f>SUM(AH48:AN52)</f>
        <v>#REF!</v>
      </c>
      <c r="AI53" s="363"/>
      <c r="AJ53" s="363"/>
      <c r="AK53" s="363"/>
      <c r="AL53" s="363"/>
      <c r="AM53" s="363"/>
      <c r="AN53" s="363"/>
    </row>
    <row r="54" spans="1:44" ht="27" customHeight="1">
      <c r="A54" s="315" t="s">
        <v>158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  <c r="V54" s="283" t="s">
        <v>177</v>
      </c>
      <c r="W54" s="283"/>
      <c r="X54" s="283"/>
      <c r="Y54" s="283"/>
      <c r="Z54" s="364">
        <v>127.2</v>
      </c>
      <c r="AA54" s="365"/>
      <c r="AB54" s="365"/>
      <c r="AC54" s="365"/>
      <c r="AD54" s="365"/>
      <c r="AE54" s="365"/>
      <c r="AF54" s="365"/>
      <c r="AG54" s="366"/>
      <c r="AH54" s="62"/>
      <c r="AI54" s="37"/>
      <c r="AJ54" s="37"/>
      <c r="AK54" s="37"/>
      <c r="AL54" s="37"/>
      <c r="AM54" s="37"/>
      <c r="AN54" s="39" t="e">
        <f t="array" ref="AN54">-ROUND(SUM(IF((LEFT('[1]сентябрь 2020'!$A$3:$A$150,2)="48")+(LEFT('[1]сентябрь 2020'!$A$3:$A$150,2)="47")+(LEFT('[1]сентябрь 2020'!$A$3:$A$150,2)="50")+(LEFT('[1]сентябрь 2020'!$A$3:$A$150,2)="51")+(LEFT('[1]сентябрь 2020'!$A$3:$A$150,2)="52")+(LEFT('[1]сентябрь 2020'!$A$3:$A$150,2)="53")+(LEFT('[1]сентябрь 2020'!$A$3:$A$150,2)="54")+(LEFT('[1]сентябрь 2020'!$A$3:$A$150,2)="55"),'[1]сентябрь 2020'!$AW$3:$AW$150))/1000,1)</f>
        <v>#REF!</v>
      </c>
      <c r="AP54" s="36">
        <v>47</v>
      </c>
      <c r="AQ54" s="146" t="s">
        <v>273</v>
      </c>
      <c r="AR54" s="146" t="s">
        <v>274</v>
      </c>
    </row>
    <row r="55" spans="1:44" ht="18" customHeight="1">
      <c r="A55" s="355" t="s">
        <v>159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7"/>
      <c r="V55" s="283"/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358"/>
      <c r="AI55" s="358"/>
      <c r="AJ55" s="358"/>
      <c r="AK55" s="358"/>
      <c r="AL55" s="358"/>
      <c r="AM55" s="358"/>
      <c r="AN55" s="358"/>
    </row>
    <row r="56" spans="1:44" ht="13.5" customHeight="1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69" t="s">
        <v>178</v>
      </c>
      <c r="W56" s="270"/>
      <c r="X56" s="270"/>
      <c r="Y56" s="27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</row>
    <row r="57" spans="1:44" ht="13.5" customHeight="1">
      <c r="A57" s="338" t="s">
        <v>160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1"/>
      <c r="W57" s="342"/>
      <c r="X57" s="342"/>
      <c r="Y57" s="343"/>
      <c r="Z57" s="344"/>
      <c r="AA57" s="345"/>
      <c r="AB57" s="345"/>
      <c r="AC57" s="345"/>
      <c r="AD57" s="345"/>
      <c r="AE57" s="345"/>
      <c r="AF57" s="345"/>
      <c r="AG57" s="346"/>
      <c r="AH57" s="335"/>
      <c r="AI57" s="336"/>
      <c r="AJ57" s="336"/>
      <c r="AK57" s="336"/>
      <c r="AL57" s="336"/>
      <c r="AM57" s="336"/>
      <c r="AN57" s="337"/>
    </row>
    <row r="58" spans="1:44" ht="13.5" customHeight="1">
      <c r="A58" s="347" t="s">
        <v>161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350" t="s">
        <v>179</v>
      </c>
      <c r="W58" s="291"/>
      <c r="X58" s="291"/>
      <c r="Y58" s="351"/>
      <c r="Z58" s="352"/>
      <c r="AA58" s="353"/>
      <c r="AB58" s="353"/>
      <c r="AC58" s="353"/>
      <c r="AD58" s="353"/>
      <c r="AE58" s="353"/>
      <c r="AF58" s="353"/>
      <c r="AG58" s="354"/>
      <c r="AH58" s="331"/>
      <c r="AI58" s="332"/>
      <c r="AJ58" s="332"/>
      <c r="AK58" s="332"/>
      <c r="AL58" s="332"/>
      <c r="AM58" s="332"/>
      <c r="AN58" s="333"/>
    </row>
    <row r="59" spans="1:44" ht="13.5" customHeight="1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69" t="s">
        <v>180</v>
      </c>
      <c r="W59" s="270"/>
      <c r="X59" s="270"/>
      <c r="Y59" s="271"/>
      <c r="Z59" s="278"/>
      <c r="AA59" s="278"/>
      <c r="AB59" s="278"/>
      <c r="AC59" s="278"/>
      <c r="AD59" s="278"/>
      <c r="AE59" s="278"/>
      <c r="AF59" s="278"/>
      <c r="AG59" s="278"/>
      <c r="AH59" s="142"/>
      <c r="AI59" s="143"/>
      <c r="AJ59" s="143"/>
      <c r="AK59" s="143"/>
      <c r="AL59" s="143"/>
      <c r="AM59" s="143"/>
      <c r="AN59" s="148" t="e">
        <f t="array" ref="AN59">-ROUND(SUM(IF(LEFT('[1]сентябрь 2020'!$A$3:$A$150,2)="63",'[1]сентябрь 2020'!$AW$3:$AW$150))/1000,1)-ROUND(SUM(IF(LEFT('[1]сентябрь 2020'!$A$3:$A$150,3)="62",'[1]сентябрь 2020'!$AW$3:$AW$150))/1000,1)</f>
        <v>#REF!</v>
      </c>
      <c r="AP59" s="146" t="s">
        <v>275</v>
      </c>
      <c r="AQ59" s="146" t="s">
        <v>276</v>
      </c>
    </row>
    <row r="60" spans="1:44" ht="13.5" customHeight="1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69" t="s">
        <v>181</v>
      </c>
      <c r="W60" s="270"/>
      <c r="X60" s="270"/>
      <c r="Y60" s="271"/>
      <c r="Z60" s="278">
        <v>2.4</v>
      </c>
      <c r="AA60" s="278"/>
      <c r="AB60" s="278"/>
      <c r="AC60" s="278"/>
      <c r="AD60" s="278"/>
      <c r="AE60" s="278"/>
      <c r="AF60" s="278"/>
      <c r="AG60" s="323"/>
      <c r="AH60" s="142"/>
      <c r="AI60" s="143"/>
      <c r="AJ60" s="143"/>
      <c r="AK60" s="143"/>
      <c r="AL60" s="143"/>
      <c r="AM60" s="143"/>
      <c r="AN60" s="148" t="e">
        <f t="array" ref="AN60">-ROUND(SUM(IF((LEFT('[1]сентябрь 2020'!$A$3:$A$150,3)="641")+(LEFT('[1]сентябрь 2020'!$A$3:$A$150,3)="642"),'[1]сентябрь 2020'!$AW$3:$AW$150))/1000,1)</f>
        <v>#REF!</v>
      </c>
      <c r="AP60" s="36">
        <v>641</v>
      </c>
      <c r="AQ60" s="36">
        <v>642</v>
      </c>
    </row>
    <row r="61" spans="1:44" ht="13.5" customHeight="1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69" t="s">
        <v>182</v>
      </c>
      <c r="W61" s="270"/>
      <c r="X61" s="270"/>
      <c r="Y61" s="271"/>
      <c r="Z61" s="278"/>
      <c r="AA61" s="278"/>
      <c r="AB61" s="278"/>
      <c r="AC61" s="278"/>
      <c r="AD61" s="278"/>
      <c r="AE61" s="278"/>
      <c r="AF61" s="278"/>
      <c r="AG61" s="278"/>
      <c r="AH61" s="331"/>
      <c r="AI61" s="332"/>
      <c r="AJ61" s="332"/>
      <c r="AK61" s="332"/>
      <c r="AL61" s="332"/>
      <c r="AM61" s="332"/>
      <c r="AN61" s="333"/>
    </row>
    <row r="62" spans="1:44" ht="13.5" customHeight="1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69" t="s">
        <v>183</v>
      </c>
      <c r="W62" s="270"/>
      <c r="X62" s="270"/>
      <c r="Y62" s="271"/>
      <c r="Z62" s="278"/>
      <c r="AA62" s="278"/>
      <c r="AB62" s="278"/>
      <c r="AC62" s="278"/>
      <c r="AD62" s="278"/>
      <c r="AE62" s="278"/>
      <c r="AF62" s="278"/>
      <c r="AG62" s="278"/>
      <c r="AH62" s="335"/>
      <c r="AI62" s="336"/>
      <c r="AJ62" s="336"/>
      <c r="AK62" s="336"/>
      <c r="AL62" s="336"/>
      <c r="AM62" s="336"/>
      <c r="AN62" s="337"/>
    </row>
    <row r="63" spans="1:44" ht="13.5" customHeight="1">
      <c r="A63" s="325" t="s">
        <v>166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7"/>
      <c r="V63" s="269" t="s">
        <v>184</v>
      </c>
      <c r="W63" s="270"/>
      <c r="X63" s="270"/>
      <c r="Y63" s="271"/>
      <c r="Z63" s="323">
        <v>9.9</v>
      </c>
      <c r="AA63" s="328"/>
      <c r="AB63" s="328"/>
      <c r="AC63" s="328"/>
      <c r="AD63" s="328"/>
      <c r="AE63" s="328"/>
      <c r="AF63" s="328"/>
      <c r="AG63" s="328"/>
      <c r="AH63" s="142"/>
      <c r="AI63" s="143"/>
      <c r="AJ63" s="143"/>
      <c r="AK63" s="143"/>
      <c r="AL63" s="143"/>
      <c r="AM63" s="143"/>
      <c r="AN63" s="148" t="e">
        <f t="array" ref="AN63">-ROUND(SUM(IF(LEFT('[1]сентябрь 2020'!$A$3:$A$150,2)="66",'[1]сентябрь 2020'!$AW$3:$AW$150))/1000,1)</f>
        <v>#REF!</v>
      </c>
      <c r="AP63" s="36">
        <v>661</v>
      </c>
    </row>
    <row r="64" spans="1:44" ht="13.5" customHeight="1">
      <c r="A64" s="304" t="s">
        <v>167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269" t="s">
        <v>185</v>
      </c>
      <c r="W64" s="270"/>
      <c r="X64" s="270"/>
      <c r="Y64" s="271"/>
      <c r="Z64" s="323"/>
      <c r="AA64" s="328"/>
      <c r="AB64" s="328"/>
      <c r="AC64" s="328"/>
      <c r="AD64" s="328"/>
      <c r="AE64" s="328"/>
      <c r="AF64" s="328"/>
      <c r="AG64" s="329"/>
      <c r="AH64" s="320"/>
      <c r="AI64" s="321"/>
      <c r="AJ64" s="321"/>
      <c r="AK64" s="321"/>
      <c r="AL64" s="321"/>
      <c r="AM64" s="321"/>
      <c r="AN64" s="322"/>
    </row>
    <row r="65" spans="1:46" ht="13.5" customHeight="1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69" t="s">
        <v>186</v>
      </c>
      <c r="W65" s="270"/>
      <c r="X65" s="270"/>
      <c r="Y65" s="271"/>
      <c r="Z65" s="278">
        <v>14798.5</v>
      </c>
      <c r="AA65" s="278"/>
      <c r="AB65" s="278"/>
      <c r="AC65" s="278"/>
      <c r="AD65" s="278"/>
      <c r="AE65" s="278"/>
      <c r="AF65" s="278"/>
      <c r="AG65" s="323"/>
      <c r="AH65" s="142"/>
      <c r="AI65" s="143"/>
      <c r="AJ65" s="143"/>
      <c r="AK65" s="143"/>
      <c r="AL65" s="143"/>
      <c r="AM65" s="143"/>
      <c r="AN65" s="148" t="e">
        <f t="array" ref="AN65">-ROUND(SUM(IF((LEFT('[1]сентябрь 2020'!$A$3:$A$150,3)="372")+(LEFT('[1]сентябрь 2020'!$A$3:$A$150,3)="378")+(LEFT('[1]сентябрь 2020'!$A$3:$A$150,3)="644")+(LEFT('[1]сентябрь 2020'!$A$3:$A$150,2)="67")+(LEFT('[1]сентябрь 2020'!$A$3:$A$150,2)="68")-(LEFT('[1]сентябрь 2020'!$A$3:$A$150,3)="684"),'[1]сентябрь 2020'!$AW$3:$AW$150))/1000,1)</f>
        <v>#REF!</v>
      </c>
      <c r="AP65" s="36">
        <v>372</v>
      </c>
      <c r="AQ65" s="146" t="s">
        <v>254</v>
      </c>
      <c r="AR65" s="146" t="s">
        <v>277</v>
      </c>
      <c r="AS65" s="146" t="s">
        <v>278</v>
      </c>
      <c r="AT65" s="146" t="s">
        <v>279</v>
      </c>
    </row>
    <row r="66" spans="1:46" ht="17.25" customHeight="1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69" t="s">
        <v>187</v>
      </c>
      <c r="W66" s="270"/>
      <c r="X66" s="270"/>
      <c r="Y66" s="271"/>
      <c r="Z66" s="324">
        <f>SUM(Z56:AG60,Z62:AG65)</f>
        <v>14810.8</v>
      </c>
      <c r="AA66" s="324"/>
      <c r="AB66" s="324"/>
      <c r="AC66" s="324"/>
      <c r="AD66" s="324"/>
      <c r="AE66" s="324"/>
      <c r="AF66" s="324"/>
      <c r="AG66" s="324"/>
      <c r="AH66" s="324" t="e">
        <f>SUM(AH56:AN60,AH62:AN65)</f>
        <v>#REF!</v>
      </c>
      <c r="AI66" s="324"/>
      <c r="AJ66" s="324"/>
      <c r="AK66" s="324"/>
      <c r="AL66" s="324"/>
      <c r="AM66" s="324"/>
      <c r="AN66" s="324"/>
    </row>
    <row r="67" spans="1:46" ht="26.25" customHeight="1">
      <c r="A67" s="315" t="s">
        <v>169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83" t="s">
        <v>188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142"/>
      <c r="AI67" s="143"/>
      <c r="AJ67" s="143"/>
      <c r="AK67" s="143"/>
      <c r="AL67" s="143"/>
      <c r="AM67" s="143"/>
      <c r="AN67" s="144" t="e">
        <f t="array" ref="AN67">-ROUND(SUM(IF(LEFT('[1]сентябрь 2020'!$A$3:$A$150,3)="680",'[1]сентябрь 2020'!$AW$3:$AW$150))/1000,1)</f>
        <v>#REF!</v>
      </c>
      <c r="AP67" s="146" t="s">
        <v>280</v>
      </c>
    </row>
    <row r="68" spans="1:46" ht="17.25" customHeight="1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22738</v>
      </c>
      <c r="AA68" s="319"/>
      <c r="AB68" s="319"/>
      <c r="AC68" s="319"/>
      <c r="AD68" s="319"/>
      <c r="AE68" s="319"/>
      <c r="AF68" s="319"/>
      <c r="AG68" s="319"/>
      <c r="AH68" s="318" t="e">
        <f>SUM(AH66:AN67,AH53,AH54:AN54)</f>
        <v>#REF!</v>
      </c>
      <c r="AI68" s="319"/>
      <c r="AJ68" s="319"/>
      <c r="AK68" s="319"/>
      <c r="AL68" s="319"/>
      <c r="AM68" s="319"/>
      <c r="AN68" s="319"/>
      <c r="AP68" s="40" t="e">
        <f>AH68-AH43</f>
        <v>#REF!</v>
      </c>
      <c r="AR68" s="100">
        <f>'[1]сентябрь 2020'!$AW$153/1000</f>
        <v>-32063.890160000003</v>
      </c>
      <c r="AS68" s="40" t="e">
        <f>AH68+AR68</f>
        <v>#REF!</v>
      </c>
    </row>
    <row r="69" spans="1:46" ht="12" customHeight="1">
      <c r="A69" s="133"/>
      <c r="B69" s="133"/>
      <c r="C69" s="133"/>
      <c r="D69" s="133"/>
      <c r="F69" s="133"/>
      <c r="G69" s="133"/>
      <c r="H69" s="133"/>
      <c r="I69" s="133"/>
      <c r="J69" s="133"/>
      <c r="K69" s="133"/>
      <c r="L69" s="5"/>
      <c r="V69" s="133"/>
    </row>
    <row r="70" spans="1:46" ht="14.25" customHeight="1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6" ht="12.75" customHeight="1">
      <c r="A71" s="313" t="s">
        <v>289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6" ht="14.25" customHeight="1">
      <c r="A72" s="27"/>
      <c r="B72" s="27"/>
      <c r="C72" s="27"/>
      <c r="D72" s="27"/>
      <c r="E72" s="28"/>
      <c r="F72" s="27"/>
      <c r="G72" s="29"/>
      <c r="H72" s="145"/>
      <c r="I72" s="145"/>
      <c r="J72" s="145"/>
      <c r="K72" s="14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6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6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</row>
    <row r="75" spans="1:46" ht="41.25" customHeight="1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6" ht="14.25" customHeight="1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6" ht="27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9" t="s">
        <v>194</v>
      </c>
      <c r="W77" s="249"/>
      <c r="X77" s="249"/>
      <c r="Y77" s="249"/>
      <c r="Z77" s="272">
        <f>ROUND('[4]2дс'!$G$19/1000,1)</f>
        <v>25071.9</v>
      </c>
      <c r="AA77" s="272"/>
      <c r="AB77" s="272"/>
      <c r="AC77" s="272"/>
      <c r="AD77" s="272"/>
      <c r="AE77" s="272"/>
      <c r="AF77" s="272"/>
      <c r="AG77" s="272"/>
      <c r="AH77" s="311">
        <v>30862.6</v>
      </c>
      <c r="AI77" s="307"/>
      <c r="AJ77" s="307"/>
      <c r="AK77" s="307"/>
      <c r="AL77" s="307"/>
      <c r="AM77" s="307"/>
      <c r="AN77" s="308"/>
      <c r="AO77" s="65"/>
    </row>
    <row r="78" spans="1:46" ht="14.25" customHeight="1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9" t="s">
        <v>195</v>
      </c>
      <c r="W78" s="249"/>
      <c r="X78" s="249"/>
      <c r="Y78" s="249"/>
      <c r="Z78" s="253">
        <f>ROUND('[4]2дс'!$G$30/1000,1)</f>
        <v>10463.9</v>
      </c>
      <c r="AA78" s="254"/>
      <c r="AB78" s="254"/>
      <c r="AC78" s="254"/>
      <c r="AD78" s="254"/>
      <c r="AE78" s="254"/>
      <c r="AF78" s="254"/>
      <c r="AG78" s="255"/>
      <c r="AH78" s="311">
        <v>0</v>
      </c>
      <c r="AI78" s="307"/>
      <c r="AJ78" s="307"/>
      <c r="AK78" s="307"/>
      <c r="AL78" s="307"/>
      <c r="AM78" s="307"/>
      <c r="AN78" s="308"/>
      <c r="AO78" s="65"/>
    </row>
    <row r="79" spans="1:46" ht="14.25" customHeight="1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9" t="s">
        <v>196</v>
      </c>
      <c r="W79" s="249"/>
      <c r="X79" s="249"/>
      <c r="Y79" s="249"/>
      <c r="Z79" s="253">
        <f>ROUND('[4]2дс'!$G$20/1000,1)</f>
        <v>1160.0999999999999</v>
      </c>
      <c r="AA79" s="254"/>
      <c r="AB79" s="254"/>
      <c r="AC79" s="254"/>
      <c r="AD79" s="254"/>
      <c r="AE79" s="254"/>
      <c r="AF79" s="254"/>
      <c r="AG79" s="255"/>
      <c r="AH79" s="311">
        <v>3369.8</v>
      </c>
      <c r="AI79" s="307"/>
      <c r="AJ79" s="307"/>
      <c r="AK79" s="307"/>
      <c r="AL79" s="307"/>
      <c r="AM79" s="307"/>
      <c r="AN79" s="308"/>
      <c r="AO79" s="65"/>
    </row>
    <row r="80" spans="1:46" ht="16.5" customHeight="1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252" t="s">
        <v>197</v>
      </c>
      <c r="W80" s="252"/>
      <c r="X80" s="252"/>
      <c r="Y80" s="252"/>
      <c r="Z80" s="312">
        <f>SUM(Z77:AG79)</f>
        <v>36695.9</v>
      </c>
      <c r="AA80" s="312"/>
      <c r="AB80" s="312"/>
      <c r="AC80" s="312"/>
      <c r="AD80" s="312"/>
      <c r="AE80" s="312"/>
      <c r="AF80" s="312"/>
      <c r="AG80" s="312"/>
      <c r="AH80" s="299">
        <f>SUM(AH77:AN79)</f>
        <v>34232.400000000001</v>
      </c>
      <c r="AI80" s="309"/>
      <c r="AJ80" s="309"/>
      <c r="AK80" s="309"/>
      <c r="AL80" s="309"/>
      <c r="AM80" s="309"/>
      <c r="AN80" s="310"/>
      <c r="AO80" s="66"/>
    </row>
    <row r="81" spans="1:41" ht="14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9" t="s">
        <v>198</v>
      </c>
      <c r="W81" s="249"/>
      <c r="X81" s="249"/>
      <c r="Y81" s="249"/>
      <c r="Z81" s="142" t="s">
        <v>117</v>
      </c>
      <c r="AA81" s="254">
        <f>241.4+2.7+753</f>
        <v>997.1</v>
      </c>
      <c r="AB81" s="254"/>
      <c r="AC81" s="254"/>
      <c r="AD81" s="254"/>
      <c r="AE81" s="254"/>
      <c r="AF81" s="254"/>
      <c r="AG81" s="143" t="s">
        <v>218</v>
      </c>
      <c r="AH81" s="67" t="s">
        <v>117</v>
      </c>
      <c r="AI81" s="307">
        <v>43.9</v>
      </c>
      <c r="AJ81" s="307"/>
      <c r="AK81" s="307"/>
      <c r="AL81" s="307"/>
      <c r="AM81" s="307"/>
      <c r="AN81" s="95" t="s">
        <v>218</v>
      </c>
    </row>
    <row r="82" spans="1:41" ht="14.25" customHeight="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9" t="s">
        <v>199</v>
      </c>
      <c r="W82" s="249"/>
      <c r="X82" s="249"/>
      <c r="Y82" s="249"/>
      <c r="Z82" s="142" t="s">
        <v>117</v>
      </c>
      <c r="AA82" s="414">
        <f>343.8+337.8+486.8+340.2</f>
        <v>1508.6000000000001</v>
      </c>
      <c r="AB82" s="414"/>
      <c r="AC82" s="414"/>
      <c r="AD82" s="414"/>
      <c r="AE82" s="414"/>
      <c r="AF82" s="414"/>
      <c r="AG82" s="143" t="s">
        <v>218</v>
      </c>
      <c r="AH82" s="67" t="s">
        <v>117</v>
      </c>
      <c r="AI82" s="307">
        <v>670.5</v>
      </c>
      <c r="AJ82" s="307"/>
      <c r="AK82" s="307"/>
      <c r="AL82" s="307"/>
      <c r="AM82" s="307"/>
      <c r="AN82" s="95" t="s">
        <v>218</v>
      </c>
    </row>
    <row r="83" spans="1:41" ht="14.25" customHeight="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142" t="s">
        <v>117</v>
      </c>
      <c r="AA83" s="415" t="e">
        <f t="array" ref="AA83">ROUND(SUM(IF(LEFT('[1]сентябрь 2020'!$A$1:$A$150,3)="791",'[1]сентябрь 2020'!$AR$1:$AR$150))/1000,1)+'2 кв2020'!AA83:AF83-'3 кв2020 '!AA82:AF82-6520</f>
        <v>#REF!</v>
      </c>
      <c r="AB83" s="415"/>
      <c r="AC83" s="415"/>
      <c r="AD83" s="415"/>
      <c r="AE83" s="415"/>
      <c r="AF83" s="149"/>
      <c r="AG83" s="143" t="s">
        <v>218</v>
      </c>
      <c r="AH83" s="67" t="s">
        <v>117</v>
      </c>
      <c r="AI83" s="307">
        <v>32665.5</v>
      </c>
      <c r="AJ83" s="307"/>
      <c r="AK83" s="307"/>
      <c r="AL83" s="307"/>
      <c r="AM83" s="307"/>
      <c r="AN83" s="95" t="s">
        <v>218</v>
      </c>
    </row>
    <row r="84" spans="1:41" ht="16.5" customHeight="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142" t="s">
        <v>117</v>
      </c>
      <c r="AA84" s="309" t="e">
        <f>SUM(AA81:AF83)</f>
        <v>#REF!</v>
      </c>
      <c r="AB84" s="309"/>
      <c r="AC84" s="309"/>
      <c r="AD84" s="309"/>
      <c r="AE84" s="309"/>
      <c r="AF84" s="309"/>
      <c r="AG84" s="143" t="s">
        <v>218</v>
      </c>
      <c r="AH84" s="67" t="s">
        <v>117</v>
      </c>
      <c r="AI84" s="302">
        <f>SUM(AI81:AN83)</f>
        <v>33379.9</v>
      </c>
      <c r="AJ84" s="302"/>
      <c r="AK84" s="302"/>
      <c r="AL84" s="302"/>
      <c r="AM84" s="302"/>
      <c r="AN84" s="95" t="s">
        <v>218</v>
      </c>
    </row>
    <row r="85" spans="1:41" ht="14.25" customHeight="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 t="e">
        <f>Z80-AA84</f>
        <v>#REF!</v>
      </c>
      <c r="AA85" s="272"/>
      <c r="AB85" s="272"/>
      <c r="AC85" s="272"/>
      <c r="AD85" s="272"/>
      <c r="AE85" s="272"/>
      <c r="AF85" s="272"/>
      <c r="AG85" s="272"/>
      <c r="AH85" s="306">
        <f>AH80-AI84</f>
        <v>852.5</v>
      </c>
      <c r="AI85" s="307"/>
      <c r="AJ85" s="307"/>
      <c r="AK85" s="307"/>
      <c r="AL85" s="307"/>
      <c r="AM85" s="307"/>
      <c r="AN85" s="308"/>
      <c r="AO85" s="65"/>
    </row>
    <row r="86" spans="1:41" ht="14.25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142" t="s">
        <v>117</v>
      </c>
      <c r="AA86" s="254"/>
      <c r="AB86" s="254"/>
      <c r="AC86" s="254"/>
      <c r="AD86" s="254"/>
      <c r="AE86" s="254"/>
      <c r="AF86" s="254"/>
      <c r="AG86" s="143" t="s">
        <v>218</v>
      </c>
      <c r="AH86" s="311" t="s">
        <v>117</v>
      </c>
      <c r="AI86" s="307"/>
      <c r="AJ86" s="307"/>
      <c r="AK86" s="307"/>
      <c r="AL86" s="307"/>
      <c r="AM86" s="307"/>
      <c r="AN86" s="308"/>
      <c r="AO86" s="65"/>
    </row>
    <row r="87" spans="1:41" ht="16.5" customHeight="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 t="e">
        <f>Z85-AA86</f>
        <v>#REF!</v>
      </c>
      <c r="AA87" s="300"/>
      <c r="AB87" s="300"/>
      <c r="AC87" s="300"/>
      <c r="AD87" s="300"/>
      <c r="AE87" s="300"/>
      <c r="AF87" s="300"/>
      <c r="AG87" s="301"/>
      <c r="AH87" s="299">
        <f>AH85-AI86</f>
        <v>852.5</v>
      </c>
      <c r="AI87" s="302"/>
      <c r="AJ87" s="302"/>
      <c r="AK87" s="302"/>
      <c r="AL87" s="302"/>
      <c r="AM87" s="302"/>
      <c r="AN87" s="303"/>
      <c r="AO87" s="65"/>
    </row>
    <row r="88" spans="1:41" ht="4.5" customHeight="1"/>
    <row r="89" spans="1:41" ht="15" customHeight="1">
      <c r="B89" s="247" t="s">
        <v>91</v>
      </c>
      <c r="C89" s="247"/>
      <c r="D89" s="247"/>
      <c r="E89" s="247"/>
      <c r="F89" s="247"/>
      <c r="G89" s="247"/>
      <c r="H89" s="247"/>
      <c r="I89" s="247"/>
      <c r="Q89" s="146"/>
      <c r="R89" s="146"/>
      <c r="S89" s="146"/>
      <c r="T89" s="146"/>
      <c r="U89" s="246"/>
      <c r="V89" s="246"/>
      <c r="W89" s="246"/>
      <c r="X89" s="246"/>
      <c r="AI89" s="243" t="s">
        <v>227</v>
      </c>
      <c r="AJ89" s="243"/>
      <c r="AK89" s="243"/>
      <c r="AL89" s="243"/>
      <c r="AM89" s="243"/>
    </row>
    <row r="90" spans="1:41">
      <c r="Q90" s="146"/>
      <c r="R90" s="146"/>
      <c r="S90" s="146"/>
      <c r="T90" s="146"/>
      <c r="U90" s="294" t="s">
        <v>94</v>
      </c>
      <c r="V90" s="294"/>
      <c r="W90" s="294"/>
      <c r="X90" s="294"/>
      <c r="AI90" s="294" t="s">
        <v>93</v>
      </c>
      <c r="AJ90" s="294"/>
      <c r="AK90" s="294"/>
      <c r="AL90" s="294"/>
      <c r="AM90" s="294"/>
    </row>
    <row r="91" spans="1:41" ht="4.5" customHeight="1">
      <c r="Q91" s="146"/>
      <c r="R91" s="146"/>
      <c r="S91" s="146"/>
      <c r="T91" s="146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146"/>
      <c r="R92" s="146"/>
      <c r="S92" s="146"/>
      <c r="T92" s="146"/>
      <c r="U92" s="246"/>
      <c r="V92" s="246"/>
      <c r="W92" s="246"/>
      <c r="X92" s="246"/>
      <c r="AI92" s="243" t="s">
        <v>228</v>
      </c>
      <c r="AJ92" s="243"/>
      <c r="AK92" s="243"/>
      <c r="AL92" s="243"/>
      <c r="AM92" s="243"/>
    </row>
    <row r="93" spans="1:41">
      <c r="Q93" s="146"/>
      <c r="R93" s="146"/>
      <c r="S93" s="146"/>
      <c r="T93" s="146"/>
      <c r="U93" s="294" t="s">
        <v>94</v>
      </c>
      <c r="V93" s="294"/>
      <c r="W93" s="294"/>
      <c r="X93" s="294"/>
      <c r="AI93" s="294" t="s">
        <v>93</v>
      </c>
      <c r="AJ93" s="294"/>
      <c r="AK93" s="294"/>
      <c r="AL93" s="294"/>
      <c r="AM93" s="294"/>
    </row>
    <row r="94" spans="1:41" ht="7.5" customHeight="1"/>
  </sheetData>
  <mergeCells count="280">
    <mergeCell ref="U93:X93"/>
    <mergeCell ref="AI93:AM93"/>
    <mergeCell ref="U90:X90"/>
    <mergeCell ref="AI90:AM90"/>
    <mergeCell ref="U91:X91"/>
    <mergeCell ref="AI91:AM91"/>
    <mergeCell ref="B92:I92"/>
    <mergeCell ref="U92:X92"/>
    <mergeCell ref="AI92:AM92"/>
    <mergeCell ref="A87:U87"/>
    <mergeCell ref="V87:Y87"/>
    <mergeCell ref="Z87:AG87"/>
    <mergeCell ref="AH87:AN87"/>
    <mergeCell ref="B89:I89"/>
    <mergeCell ref="U89:X89"/>
    <mergeCell ref="AI89:AM89"/>
    <mergeCell ref="A85:U85"/>
    <mergeCell ref="V85:Y85"/>
    <mergeCell ref="Z85:AG85"/>
    <mergeCell ref="AH85:AN85"/>
    <mergeCell ref="A86:U86"/>
    <mergeCell ref="V86:Y86"/>
    <mergeCell ref="AA86:AF86"/>
    <mergeCell ref="AH86:AN86"/>
    <mergeCell ref="A83:U83"/>
    <mergeCell ref="V83:Y83"/>
    <mergeCell ref="AI83:AM83"/>
    <mergeCell ref="A84:U84"/>
    <mergeCell ref="V84:Y84"/>
    <mergeCell ref="AA84:AF84"/>
    <mergeCell ref="AI84:AM84"/>
    <mergeCell ref="A81:U81"/>
    <mergeCell ref="V81:Y81"/>
    <mergeCell ref="AA81:AF81"/>
    <mergeCell ref="AI81:AM81"/>
    <mergeCell ref="A82:U82"/>
    <mergeCell ref="V82:Y82"/>
    <mergeCell ref="AA82:AF82"/>
    <mergeCell ref="AI82:AM82"/>
    <mergeCell ref="AA83:AE83"/>
    <mergeCell ref="A79:U79"/>
    <mergeCell ref="V79:Y79"/>
    <mergeCell ref="Z79:AG79"/>
    <mergeCell ref="AH79:AN79"/>
    <mergeCell ref="A80:U80"/>
    <mergeCell ref="V80:Y80"/>
    <mergeCell ref="Z80:AG80"/>
    <mergeCell ref="AH80:AN80"/>
    <mergeCell ref="A77:U77"/>
    <mergeCell ref="V77:Y77"/>
    <mergeCell ref="Z77:AG77"/>
    <mergeCell ref="AH77:AN77"/>
    <mergeCell ref="A78:U78"/>
    <mergeCell ref="V78:Y78"/>
    <mergeCell ref="Z78:AG78"/>
    <mergeCell ref="AH78:AN78"/>
    <mergeCell ref="A75:U75"/>
    <mergeCell ref="V75:Y75"/>
    <mergeCell ref="Z75:AG75"/>
    <mergeCell ref="AH75:AN75"/>
    <mergeCell ref="A76:U76"/>
    <mergeCell ref="V76:Y76"/>
    <mergeCell ref="Z76:AG76"/>
    <mergeCell ref="AH76:AN76"/>
    <mergeCell ref="AH68:AN68"/>
    <mergeCell ref="A70:AN70"/>
    <mergeCell ref="A71:AN71"/>
    <mergeCell ref="Z72:AG72"/>
    <mergeCell ref="Z73:AG73"/>
    <mergeCell ref="AH73:AN73"/>
    <mergeCell ref="A67:U67"/>
    <mergeCell ref="V67:Y67"/>
    <mergeCell ref="Z67:AG67"/>
    <mergeCell ref="A68:U68"/>
    <mergeCell ref="V68:Y68"/>
    <mergeCell ref="Z68:AG68"/>
    <mergeCell ref="AH64:AN64"/>
    <mergeCell ref="A65:U65"/>
    <mergeCell ref="V65:Y65"/>
    <mergeCell ref="Z65:AG65"/>
    <mergeCell ref="A66:U66"/>
    <mergeCell ref="V66:Y66"/>
    <mergeCell ref="Z66:AG66"/>
    <mergeCell ref="AH66:AN66"/>
    <mergeCell ref="A63:U63"/>
    <mergeCell ref="V63:Y63"/>
    <mergeCell ref="Z63:AG63"/>
    <mergeCell ref="A64:U64"/>
    <mergeCell ref="V64:Y64"/>
    <mergeCell ref="Z64:AG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60:U60"/>
    <mergeCell ref="V60:Y60"/>
    <mergeCell ref="Z60:AG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H52:AN52"/>
    <mergeCell ref="A53:U53"/>
    <mergeCell ref="V53:Y53"/>
    <mergeCell ref="Z53:AG53"/>
    <mergeCell ref="AH53:AN53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49:U49"/>
    <mergeCell ref="V49:Y49"/>
    <mergeCell ref="Z49:AG49"/>
    <mergeCell ref="A50:U50"/>
    <mergeCell ref="V50:Y50"/>
    <mergeCell ref="Z50:AG50"/>
    <mergeCell ref="A47:U47"/>
    <mergeCell ref="V47:Y47"/>
    <mergeCell ref="Z47:AG47"/>
    <mergeCell ref="AH47:AN47"/>
    <mergeCell ref="A48:U48"/>
    <mergeCell ref="V48:Y48"/>
    <mergeCell ref="Z48:AG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H41:AN41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41:U41"/>
    <mergeCell ref="V41:Y41"/>
    <mergeCell ref="Z41:AG41"/>
    <mergeCell ref="A38:U38"/>
    <mergeCell ref="V38:Y38"/>
    <mergeCell ref="Z38:AG38"/>
    <mergeCell ref="A39:U39"/>
    <mergeCell ref="V39:Y39"/>
    <mergeCell ref="Z39:AG39"/>
    <mergeCell ref="AH35:AN35"/>
    <mergeCell ref="A36:U36"/>
    <mergeCell ref="V36:Y36"/>
    <mergeCell ref="Z36:AG36"/>
    <mergeCell ref="A37:U37"/>
    <mergeCell ref="V37:Y37"/>
    <mergeCell ref="Z37:AG37"/>
    <mergeCell ref="A33:U33"/>
    <mergeCell ref="V33:Y33"/>
    <mergeCell ref="A34:U34"/>
    <mergeCell ref="V34:Y34"/>
    <mergeCell ref="Z34:AG34"/>
    <mergeCell ref="A35:U35"/>
    <mergeCell ref="V35:Y35"/>
    <mergeCell ref="Z35:AG35"/>
    <mergeCell ref="A31:U31"/>
    <mergeCell ref="V31:Y31"/>
    <mergeCell ref="Z31:AG31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H22:AN22"/>
    <mergeCell ref="A23:U23"/>
    <mergeCell ref="V23:Y23"/>
    <mergeCell ref="Z23:AG23"/>
    <mergeCell ref="A24:U24"/>
    <mergeCell ref="V24:Y24"/>
    <mergeCell ref="AB24:AD24"/>
    <mergeCell ref="AI24:AL24"/>
    <mergeCell ref="A21:U21"/>
    <mergeCell ref="V21:Y21"/>
    <mergeCell ref="Z21:AG21"/>
    <mergeCell ref="A22:U22"/>
    <mergeCell ref="V22:Y22"/>
    <mergeCell ref="Z22:AG22"/>
    <mergeCell ref="A19:U19"/>
    <mergeCell ref="V19:Y19"/>
    <mergeCell ref="Z19:AG19"/>
    <mergeCell ref="AH19:AN19"/>
    <mergeCell ref="A20:U20"/>
    <mergeCell ref="V20:Y20"/>
    <mergeCell ref="Z20:AG20"/>
    <mergeCell ref="AH20:AN20"/>
    <mergeCell ref="AH15:AN15"/>
    <mergeCell ref="I16:S16"/>
    <mergeCell ref="A18:U18"/>
    <mergeCell ref="V18:Y18"/>
    <mergeCell ref="Z18:AG18"/>
    <mergeCell ref="AH18:AN18"/>
    <mergeCell ref="A11:M11"/>
    <mergeCell ref="N11:Z11"/>
    <mergeCell ref="A12:Z12"/>
    <mergeCell ref="A13:F13"/>
    <mergeCell ref="I15:S15"/>
    <mergeCell ref="T15:Y15"/>
    <mergeCell ref="Z15:AG15"/>
    <mergeCell ref="A9:I9"/>
    <mergeCell ref="J9:Z9"/>
    <mergeCell ref="AB9:AG9"/>
    <mergeCell ref="W1:AN1"/>
    <mergeCell ref="A3:AN3"/>
    <mergeCell ref="A4:AN4"/>
    <mergeCell ref="AI5:AN5"/>
    <mergeCell ref="A6:AF6"/>
    <mergeCell ref="AI6:AK6"/>
    <mergeCell ref="AM6:AN6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V94"/>
  <sheetViews>
    <sheetView showGridLines="0" topLeftCell="A61" workbookViewId="0">
      <selection activeCell="AH81" sqref="AH81:AN83"/>
    </sheetView>
  </sheetViews>
  <sheetFormatPr defaultRowHeight="12.75"/>
  <cols>
    <col min="1" max="5" width="2.28515625" style="153" customWidth="1"/>
    <col min="6" max="6" width="2.7109375" style="153" customWidth="1"/>
    <col min="7" max="29" width="2.28515625" style="153" customWidth="1"/>
    <col min="30" max="34" width="2.28515625" style="159" customWidth="1"/>
    <col min="35" max="35" width="4.140625" style="159" customWidth="1"/>
    <col min="36" max="36" width="4.42578125" style="159" customWidth="1"/>
    <col min="37" max="37" width="2.28515625" style="159" hidden="1" customWidth="1"/>
    <col min="38" max="38" width="4.7109375" style="159" customWidth="1"/>
    <col min="39" max="39" width="2" style="159" customWidth="1"/>
    <col min="40" max="40" width="7.140625" style="159" customWidth="1"/>
    <col min="41" max="41" width="9.140625" style="159"/>
    <col min="42" max="42" width="13.28515625" style="159" customWidth="1"/>
    <col min="43" max="43" width="9.140625" style="159"/>
    <col min="44" max="44" width="11.7109375" style="159" customWidth="1"/>
    <col min="45" max="16384" width="9.140625" style="159"/>
  </cols>
  <sheetData>
    <row r="1" spans="1:40" ht="48.75" customHeight="1">
      <c r="W1" s="240" t="s">
        <v>208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</row>
    <row r="2" spans="1:40" ht="23.25" customHeight="1"/>
    <row r="3" spans="1:40" ht="15.75" customHeight="1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 customHeight="1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29.25" customHeight="1">
      <c r="A5" s="152"/>
      <c r="B5" s="152"/>
      <c r="C5" s="152"/>
      <c r="D5" s="152"/>
      <c r="E5" s="158"/>
      <c r="G5" s="152"/>
      <c r="H5" s="152"/>
      <c r="L5" s="5"/>
      <c r="AA5" s="158"/>
      <c r="AB5" s="158"/>
      <c r="AC5" s="158"/>
      <c r="AD5" s="158"/>
      <c r="AE5" s="158"/>
      <c r="AF5" s="158"/>
      <c r="AG5" s="158"/>
      <c r="AI5" s="256" t="s">
        <v>1</v>
      </c>
      <c r="AJ5" s="256"/>
      <c r="AK5" s="256"/>
      <c r="AL5" s="256"/>
      <c r="AM5" s="256"/>
      <c r="AN5" s="256"/>
    </row>
    <row r="6" spans="1:40" ht="15.75" customHeight="1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153"/>
      <c r="AI6" s="257" t="s">
        <v>290</v>
      </c>
      <c r="AJ6" s="258"/>
      <c r="AK6" s="259"/>
      <c r="AL6" s="156" t="s">
        <v>77</v>
      </c>
      <c r="AM6" s="284" t="s">
        <v>77</v>
      </c>
      <c r="AN6" s="284"/>
    </row>
    <row r="7" spans="1:40" ht="31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157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3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158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7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152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3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57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7.25" customHeight="1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294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157"/>
      <c r="AC11" s="154"/>
      <c r="AD11" s="154"/>
      <c r="AE11" s="154"/>
      <c r="AF11" s="154"/>
    </row>
    <row r="12" spans="1:40" ht="13.5" customHeight="1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157"/>
      <c r="AC12" s="12"/>
      <c r="AD12" s="12"/>
      <c r="AE12" s="153"/>
      <c r="AF12" s="153"/>
    </row>
    <row r="13" spans="1:40" ht="13.5" customHeight="1">
      <c r="A13" s="247" t="s">
        <v>130</v>
      </c>
      <c r="B13" s="247"/>
      <c r="C13" s="247"/>
      <c r="D13" s="247"/>
      <c r="E13" s="247"/>
      <c r="F13" s="247"/>
      <c r="AD13" s="153"/>
      <c r="AE13" s="153"/>
      <c r="AF13" s="153"/>
    </row>
    <row r="14" spans="1:40" ht="30" customHeight="1">
      <c r="C14" s="12"/>
      <c r="D14" s="12"/>
      <c r="E14" s="12"/>
      <c r="F14" s="12"/>
      <c r="L14" s="5"/>
    </row>
    <row r="15" spans="1:40" ht="15" customHeight="1">
      <c r="I15" s="260" t="s">
        <v>15</v>
      </c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 t="s">
        <v>215</v>
      </c>
      <c r="U15" s="260"/>
      <c r="V15" s="260"/>
      <c r="W15" s="260"/>
      <c r="X15" s="260"/>
      <c r="Y15" s="260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 ht="10.5" customHeight="1">
      <c r="I16" s="289" t="s">
        <v>291</v>
      </c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46" ht="7.5" customHeight="1">
      <c r="G17" s="15"/>
      <c r="H17" s="15"/>
      <c r="L17" s="5"/>
    </row>
    <row r="18" spans="1:46" ht="27.75" customHeight="1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65" t="s">
        <v>170</v>
      </c>
      <c r="W18" s="263"/>
      <c r="X18" s="263"/>
      <c r="Y18" s="264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 ht="15" customHeight="1">
      <c r="A19" s="269">
        <v>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 ht="19.5" customHeight="1">
      <c r="A20" s="355" t="s">
        <v>21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7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390"/>
      <c r="AI20" s="390"/>
      <c r="AJ20" s="390"/>
      <c r="AK20" s="390"/>
      <c r="AL20" s="390"/>
      <c r="AM20" s="390"/>
      <c r="AN20" s="390"/>
    </row>
    <row r="21" spans="1:46" ht="15" customHeight="1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367">
        <v>127.2</v>
      </c>
      <c r="AA21" s="368">
        <v>127.2</v>
      </c>
      <c r="AB21" s="368">
        <v>127.2</v>
      </c>
      <c r="AC21" s="368">
        <v>127.2</v>
      </c>
      <c r="AD21" s="368">
        <v>127.2</v>
      </c>
      <c r="AE21" s="368">
        <v>127.2</v>
      </c>
      <c r="AF21" s="368">
        <v>127.2</v>
      </c>
      <c r="AG21" s="369">
        <v>127.2</v>
      </c>
      <c r="AH21" s="24"/>
      <c r="AI21" s="147"/>
      <c r="AJ21" s="147"/>
      <c r="AK21" s="147"/>
      <c r="AL21" s="147"/>
      <c r="AM21" s="147"/>
      <c r="AN21" s="148">
        <f t="array" ref="AN21">ROUND(SUM(IF(LEFT('[1]декабрь 2020'!$A$3:$A$150,2)="15",'[1]декабрь 2020'!$AV$3:$AV$150))/1000,1)</f>
        <v>0.2</v>
      </c>
      <c r="AP21" s="93" t="s">
        <v>247</v>
      </c>
    </row>
    <row r="22" spans="1:46" ht="15" customHeight="1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Z23-AB24</f>
        <v>4524.1000000000004</v>
      </c>
      <c r="AA22" s="278"/>
      <c r="AB22" s="278"/>
      <c r="AC22" s="278"/>
      <c r="AD22" s="278"/>
      <c r="AE22" s="278"/>
      <c r="AF22" s="278"/>
      <c r="AG22" s="278"/>
      <c r="AH22" s="387">
        <f>AN23-AI24</f>
        <v>5735.8000000000011</v>
      </c>
      <c r="AI22" s="379"/>
      <c r="AJ22" s="379"/>
      <c r="AK22" s="379"/>
      <c r="AL22" s="379"/>
      <c r="AM22" s="379"/>
      <c r="AN22" s="379"/>
    </row>
    <row r="23" spans="1:46" ht="15" customHeight="1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14034.5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24"/>
      <c r="AI23" s="162"/>
      <c r="AJ23" s="162"/>
      <c r="AK23" s="162"/>
      <c r="AL23" s="162"/>
      <c r="AM23" s="166"/>
      <c r="AN23" s="148">
        <f t="array" ref="AN23">ROUND(SUM(IF((LEFT('[1]декабрь 2020'!$A$3:$A$150,2)="10")+(LEFT('[1]декабрь 2020'!$A$3:$A$150,2)="11"),'[1]декабрь 2020'!$AV$3:$AV$150))/1000,1)</f>
        <v>15989.7</v>
      </c>
      <c r="AP23" s="93" t="s">
        <v>232</v>
      </c>
      <c r="AQ23" s="93" t="s">
        <v>233</v>
      </c>
    </row>
    <row r="24" spans="1:46" ht="15" customHeight="1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153" t="s">
        <v>219</v>
      </c>
      <c r="AA24" s="162"/>
      <c r="AB24" s="389">
        <v>9510.4</v>
      </c>
      <c r="AC24" s="389"/>
      <c r="AD24" s="389"/>
      <c r="AE24" s="170"/>
      <c r="AF24" s="162" t="s">
        <v>218</v>
      </c>
      <c r="AG24" s="163"/>
      <c r="AH24" s="167" t="s">
        <v>219</v>
      </c>
      <c r="AI24" s="389">
        <f t="array" ref="AI24">-ROUND(SUM(IF((LEFT('[1]декабрь 2020'!$A$3:$A$145,3)="131")+(LEFT('[1]декабрь 2020'!$A$3:$A$145,3)="132")+(LEFT('[1]декабрь 2020'!$A$3:$A$145,3)="135"),'[1]декабрь 2020'!$AW$3:$AW$145))/1000,1)</f>
        <v>10253.9</v>
      </c>
      <c r="AJ24" s="389"/>
      <c r="AK24" s="389"/>
      <c r="AL24" s="389"/>
      <c r="AM24" s="92"/>
      <c r="AN24" s="168" t="s">
        <v>218</v>
      </c>
      <c r="AP24" s="94">
        <v>131</v>
      </c>
      <c r="AQ24" s="94">
        <v>132</v>
      </c>
      <c r="AR24" s="93" t="s">
        <v>248</v>
      </c>
    </row>
    <row r="25" spans="1:46" ht="15" customHeight="1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278"/>
      <c r="AA25" s="278"/>
      <c r="AB25" s="278"/>
      <c r="AC25" s="278"/>
      <c r="AD25" s="278"/>
      <c r="AE25" s="278"/>
      <c r="AF25" s="278"/>
      <c r="AG25" s="278"/>
      <c r="AH25" s="358"/>
      <c r="AI25" s="279"/>
      <c r="AJ25" s="279"/>
      <c r="AK25" s="279"/>
      <c r="AL25" s="279"/>
      <c r="AM25" s="358"/>
      <c r="AN25" s="279"/>
      <c r="AP25" s="159" t="s">
        <v>249</v>
      </c>
      <c r="AQ25" s="159" t="s">
        <v>250</v>
      </c>
      <c r="AR25" s="159" t="s">
        <v>251</v>
      </c>
    </row>
    <row r="26" spans="1:46" ht="15" customHeight="1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278"/>
      <c r="AA26" s="278"/>
      <c r="AB26" s="278"/>
      <c r="AC26" s="278"/>
      <c r="AD26" s="278"/>
      <c r="AE26" s="278"/>
      <c r="AF26" s="278"/>
      <c r="AG26" s="278"/>
      <c r="AH26" s="279"/>
      <c r="AI26" s="279"/>
      <c r="AJ26" s="279"/>
      <c r="AK26" s="279"/>
      <c r="AL26" s="279"/>
      <c r="AM26" s="279"/>
      <c r="AN26" s="279"/>
      <c r="AT26" s="159" t="s">
        <v>288</v>
      </c>
    </row>
    <row r="27" spans="1:46" ht="15" customHeight="1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278"/>
      <c r="AA27" s="278"/>
      <c r="AB27" s="278"/>
      <c r="AC27" s="278"/>
      <c r="AD27" s="278"/>
      <c r="AE27" s="278"/>
      <c r="AF27" s="278"/>
      <c r="AG27" s="278"/>
      <c r="AH27" s="279"/>
      <c r="AI27" s="279"/>
      <c r="AJ27" s="279"/>
      <c r="AK27" s="279"/>
      <c r="AL27" s="279"/>
      <c r="AM27" s="279"/>
      <c r="AN27" s="279"/>
    </row>
    <row r="28" spans="1:46" ht="19.5" customHeight="1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15" t="s">
        <v>142</v>
      </c>
      <c r="W28" s="316"/>
      <c r="X28" s="316"/>
      <c r="Y28" s="317"/>
      <c r="Z28" s="318">
        <f>Z22+Z25+Z26+Z27+Z21</f>
        <v>4651.3</v>
      </c>
      <c r="AA28" s="319"/>
      <c r="AB28" s="319"/>
      <c r="AC28" s="319"/>
      <c r="AD28" s="319"/>
      <c r="AE28" s="319"/>
      <c r="AF28" s="319"/>
      <c r="AG28" s="319"/>
      <c r="AH28" s="318">
        <f>AH22+AH25+AH26+AH27+AN21</f>
        <v>5736.0000000000009</v>
      </c>
      <c r="AI28" s="319"/>
      <c r="AJ28" s="319"/>
      <c r="AK28" s="319"/>
      <c r="AL28" s="319"/>
      <c r="AM28" s="319"/>
      <c r="AN28" s="319"/>
    </row>
    <row r="29" spans="1:46" ht="19.5" customHeight="1">
      <c r="A29" s="355" t="s">
        <v>31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7"/>
      <c r="V29" s="273"/>
      <c r="W29" s="273"/>
      <c r="X29" s="273"/>
      <c r="Y29" s="273"/>
      <c r="Z29" s="278"/>
      <c r="AA29" s="278"/>
      <c r="AB29" s="278"/>
      <c r="AC29" s="278"/>
      <c r="AD29" s="278"/>
      <c r="AE29" s="278"/>
      <c r="AF29" s="278"/>
      <c r="AG29" s="278"/>
      <c r="AH29" s="370"/>
      <c r="AI29" s="370"/>
      <c r="AJ29" s="370"/>
      <c r="AK29" s="370"/>
      <c r="AL29" s="370"/>
      <c r="AM29" s="370"/>
      <c r="AN29" s="370"/>
    </row>
    <row r="30" spans="1:46" ht="15" customHeight="1">
      <c r="A30" s="304" t="s">
        <v>132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8"/>
      <c r="V30" s="265" t="s">
        <v>143</v>
      </c>
      <c r="W30" s="266"/>
      <c r="X30" s="266"/>
      <c r="Y30" s="267"/>
      <c r="Z30" s="367">
        <v>16804</v>
      </c>
      <c r="AA30" s="368"/>
      <c r="AB30" s="368"/>
      <c r="AC30" s="368"/>
      <c r="AD30" s="368"/>
      <c r="AE30" s="368"/>
      <c r="AF30" s="368"/>
      <c r="AG30" s="369"/>
      <c r="AH30" s="161"/>
      <c r="AI30" s="162"/>
      <c r="AJ30" s="162"/>
      <c r="AK30" s="162"/>
      <c r="AL30" s="162"/>
      <c r="AM30" s="162"/>
      <c r="AN30" s="148">
        <f t="array" ref="AN30">ROUND(SUM(IF((LEFT('[1]декабрь 2020'!$A$3:$A$150,2)="20")+(LEFT('[1]декабрь 2020'!$A$3:$A$150,2)="22")+(LEFT('[1]декабрь 2020'!$A$3:$A$150,2)="23")-(LEFT('[1]декабрь 2020'!$A$3:$A$150,3)="286"),'[1]декабрь 2020'!$AV$3:$AV$150))/1000,1)</f>
        <v>15820.5</v>
      </c>
      <c r="AP30" s="94">
        <v>20</v>
      </c>
      <c r="AQ30" s="94">
        <v>22</v>
      </c>
      <c r="AR30" s="94">
        <v>23</v>
      </c>
      <c r="AS30" s="36">
        <v>-286</v>
      </c>
      <c r="AT30" s="36"/>
    </row>
    <row r="31" spans="1:46" ht="15" customHeight="1">
      <c r="A31" s="325" t="s">
        <v>210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7"/>
      <c r="V31" s="265" t="s">
        <v>144</v>
      </c>
      <c r="W31" s="266"/>
      <c r="X31" s="266"/>
      <c r="Y31" s="267"/>
      <c r="Z31" s="383"/>
      <c r="AA31" s="384"/>
      <c r="AB31" s="384"/>
      <c r="AC31" s="384"/>
      <c r="AD31" s="384"/>
      <c r="AE31" s="384"/>
      <c r="AF31" s="384"/>
      <c r="AG31" s="385"/>
      <c r="AH31" s="331"/>
      <c r="AI31" s="332"/>
      <c r="AJ31" s="332"/>
      <c r="AK31" s="332"/>
      <c r="AL31" s="332"/>
      <c r="AM31" s="332"/>
      <c r="AN31" s="333"/>
    </row>
    <row r="32" spans="1:46" ht="15" customHeight="1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386"/>
      <c r="AA32" s="386"/>
      <c r="AB32" s="386"/>
      <c r="AC32" s="386"/>
      <c r="AD32" s="386"/>
      <c r="AE32" s="386"/>
      <c r="AF32" s="386"/>
      <c r="AG32" s="386"/>
      <c r="AH32" s="370"/>
      <c r="AI32" s="370"/>
      <c r="AJ32" s="370"/>
      <c r="AK32" s="370"/>
      <c r="AL32" s="370"/>
      <c r="AM32" s="370"/>
      <c r="AN32" s="370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42"/>
      <c r="AA33" s="43"/>
      <c r="AB33" s="43"/>
      <c r="AC33" s="43"/>
      <c r="AD33" s="43"/>
      <c r="AE33" s="43"/>
      <c r="AF33" s="43"/>
      <c r="AG33" s="44"/>
      <c r="AH33" s="164"/>
      <c r="AI33" s="165"/>
      <c r="AJ33" s="165"/>
      <c r="AK33" s="165"/>
      <c r="AL33" s="165"/>
      <c r="AM33" s="165"/>
      <c r="AN33" s="38">
        <f t="array" ref="AN33">ROUND(SUM(IF((LEFT('[1]декабрь 2020'!$A$3:$A$150,2)="34")+(LEFT('[1]декабрь 2020'!$A$3:$A$150,2)="36"),'[1]декабрь 2020'!$AV$3:$AV$150))/1000,1)</f>
        <v>0</v>
      </c>
      <c r="AP33" s="93" t="s">
        <v>252</v>
      </c>
      <c r="AQ33" s="93" t="s">
        <v>253</v>
      </c>
    </row>
    <row r="34" spans="1:48" ht="15" customHeight="1">
      <c r="A34" s="304" t="s">
        <v>36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265" t="s">
        <v>147</v>
      </c>
      <c r="W34" s="266"/>
      <c r="X34" s="266"/>
      <c r="Y34" s="267"/>
      <c r="Z34" s="367">
        <v>12.3</v>
      </c>
      <c r="AA34" s="368"/>
      <c r="AB34" s="368"/>
      <c r="AC34" s="368"/>
      <c r="AD34" s="368"/>
      <c r="AE34" s="368"/>
      <c r="AF34" s="368"/>
      <c r="AG34" s="369"/>
      <c r="AH34" s="161"/>
      <c r="AI34" s="162"/>
      <c r="AJ34" s="162"/>
      <c r="AK34" s="162"/>
      <c r="AL34" s="162"/>
      <c r="AM34" s="162"/>
      <c r="AN34" s="148">
        <f t="array" ref="AN34">ROUND(SUM(IF((LEFT('[1]декабрь 2020'!$A$3:$A$150,3)="378")+(LEFT('[1]декабрь 2020'!$A$3:$A$150,3)="641")+(LEFT('[1]декабрь 2020'!$A$3:$A$150,3)="642")++(LEFT('[1]декабрь 2020'!$A$3:$A$150,3)="651")+(LEFT('[1]декабрь 2020'!$A$3:$A$150,3)="652"),'[1]декабрь 2020'!$AV$3:$AV$150))/1000,1)</f>
        <v>39.9</v>
      </c>
      <c r="AP34" s="93" t="s">
        <v>254</v>
      </c>
      <c r="AQ34" s="93" t="s">
        <v>255</v>
      </c>
      <c r="AR34" s="93" t="s">
        <v>256</v>
      </c>
      <c r="AS34" s="93" t="s">
        <v>257</v>
      </c>
      <c r="AT34" s="93" t="s">
        <v>258</v>
      </c>
    </row>
    <row r="35" spans="1:48" ht="15" customHeight="1">
      <c r="A35" s="325" t="s">
        <v>164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7"/>
      <c r="V35" s="265" t="s">
        <v>148</v>
      </c>
      <c r="W35" s="266"/>
      <c r="X35" s="266"/>
      <c r="Y35" s="267"/>
      <c r="Z35" s="380"/>
      <c r="AA35" s="381"/>
      <c r="AB35" s="381"/>
      <c r="AC35" s="381"/>
      <c r="AD35" s="381"/>
      <c r="AE35" s="381"/>
      <c r="AF35" s="381"/>
      <c r="AG35" s="382"/>
      <c r="AH35" s="375"/>
      <c r="AI35" s="376"/>
      <c r="AJ35" s="376"/>
      <c r="AK35" s="376"/>
      <c r="AL35" s="376"/>
      <c r="AM35" s="376"/>
      <c r="AN35" s="377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367">
        <v>1259.7</v>
      </c>
      <c r="AA36" s="368"/>
      <c r="AB36" s="368"/>
      <c r="AC36" s="368"/>
      <c r="AD36" s="368"/>
      <c r="AE36" s="368"/>
      <c r="AF36" s="368"/>
      <c r="AG36" s="369"/>
      <c r="AH36" s="161"/>
      <c r="AI36" s="162"/>
      <c r="AJ36" s="162"/>
      <c r="AK36" s="162"/>
      <c r="AL36" s="162"/>
      <c r="AM36" s="162"/>
      <c r="AN36" s="38">
        <f t="array" ref="AN36">ROUND(SUM(IF((LEFT('[1]декабрь 2020'!$A$3:$A$150,2)="37")-(LEFT('[1]декабрь 2020'!$A$3:$A$150,3)="378")+(LEFT('[1]декабрь 2020'!$A$3:$A$150,2)="66")+(LEFT('[1]декабрь 2020'!$A$3:$A$150,2)="68")+(LEFT('[1]декабрь 2020'!$A$3:$A$150,3)="653")+(LEFT('[1]декабрь 2020'!$A$3:$A$150,2)="654")+(LEFT('[1]декабрь 2020'!$A$3:$A$150,5)="644/1"),'[1]декабрь 2020'!$AV$3:$AV$150))/1000,1)</f>
        <v>0</v>
      </c>
      <c r="AP36" s="93" t="s">
        <v>259</v>
      </c>
      <c r="AQ36" s="93" t="s">
        <v>260</v>
      </c>
      <c r="AR36" s="93" t="s">
        <v>261</v>
      </c>
      <c r="AS36" s="93" t="s">
        <v>262</v>
      </c>
      <c r="AT36" s="93" t="s">
        <v>263</v>
      </c>
      <c r="AU36" s="93"/>
      <c r="AV36" s="93" t="s">
        <v>285</v>
      </c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378"/>
      <c r="AA37" s="378"/>
      <c r="AB37" s="378"/>
      <c r="AC37" s="378"/>
      <c r="AD37" s="378"/>
      <c r="AE37" s="378"/>
      <c r="AF37" s="378"/>
      <c r="AG37" s="378"/>
      <c r="AH37" s="161"/>
      <c r="AI37" s="162"/>
      <c r="AJ37" s="162"/>
      <c r="AK37" s="162"/>
      <c r="AL37" s="162"/>
      <c r="AM37" s="162"/>
      <c r="AN37" s="163">
        <f t="array" ref="AN37">ROUND(SUM(IF(LEFT('[1]декабрь 2020'!$A$3:$A$150,3)="352",'[1]декабрь 2020'!$AV$3:$AV$150))/1000,1)</f>
        <v>0</v>
      </c>
      <c r="AP37" s="93" t="s">
        <v>284</v>
      </c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367">
        <v>10.7</v>
      </c>
      <c r="AA38" s="368"/>
      <c r="AB38" s="368"/>
      <c r="AC38" s="368"/>
      <c r="AD38" s="368"/>
      <c r="AE38" s="368"/>
      <c r="AF38" s="368"/>
      <c r="AG38" s="369"/>
      <c r="AH38" s="161"/>
      <c r="AI38" s="162"/>
      <c r="AJ38" s="162"/>
      <c r="AK38" s="162"/>
      <c r="AL38" s="162"/>
      <c r="AM38" s="162"/>
      <c r="AN38" s="148">
        <f t="array" ref="AN38">ROUND(SUM(IF((LEFT('[1]декабрь 2020'!$A$3:$A$150,2)="30")+(LEFT('[1]декабрь 2020'!$A$3:$A$150,2)="31")+(LEFT('[1]декабрь 2020'!$A$3:$A$150,3)="333")+((LEFT('[1]декабрь 2020'!$A$3:$A$150,3)="334")+(LEFT('[1]декабрь 2020'!$A$3:$A$150,3)="335")+(LEFT('[1]декабрь 2020'!$A$3:$A$150,3)="351")),'[1]декабрь 2020'!$AV$3:$AV$150))/1000,1)</f>
        <v>9138.1</v>
      </c>
      <c r="AP38" s="94">
        <v>30</v>
      </c>
      <c r="AQ38" s="94">
        <v>31</v>
      </c>
      <c r="AR38" s="94">
        <v>333</v>
      </c>
      <c r="AS38" s="93" t="s">
        <v>264</v>
      </c>
      <c r="AT38" s="93" t="s">
        <v>265</v>
      </c>
      <c r="AU38" s="93" t="s">
        <v>266</v>
      </c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358"/>
      <c r="AA39" s="358"/>
      <c r="AB39" s="358"/>
      <c r="AC39" s="358"/>
      <c r="AD39" s="358"/>
      <c r="AE39" s="358"/>
      <c r="AF39" s="358"/>
      <c r="AG39" s="358"/>
      <c r="AH39" s="161"/>
      <c r="AI39" s="162"/>
      <c r="AJ39" s="162"/>
      <c r="AK39" s="162"/>
      <c r="AL39" s="162"/>
      <c r="AM39" s="162"/>
      <c r="AN39" s="148">
        <f t="array" ref="AN39">ROUND(SUM(IF((LEFT('[1]декабрь 2020'!$A$3:$A$150,2)="39"),'[1]декабрь 2020'!$AV$3:$AV$150))/1000,1)</f>
        <v>0</v>
      </c>
      <c r="AP39" s="93" t="s">
        <v>269</v>
      </c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279"/>
      <c r="AA40" s="279"/>
      <c r="AB40" s="279"/>
      <c r="AC40" s="279"/>
      <c r="AD40" s="279"/>
      <c r="AE40" s="279"/>
      <c r="AF40" s="279"/>
      <c r="AG40" s="279"/>
      <c r="AH40" s="161"/>
      <c r="AI40" s="162"/>
      <c r="AJ40" s="162"/>
      <c r="AK40" s="162"/>
      <c r="AL40" s="162"/>
      <c r="AM40" s="162"/>
      <c r="AN40" s="148">
        <f t="array" ref="AN40">ROUND(SUM(IF((LEFT('[1]декабрь 2020'!$A$3:$A$150,3)="331")+(LEFT('[1]декабрь 2020'!$A$3:$A$150,3)="332"),'[1]декабрь 2020'!$AV$3:$AV$150))/1000,1)</f>
        <v>8.4</v>
      </c>
      <c r="AP40" s="93" t="s">
        <v>267</v>
      </c>
      <c r="AQ40" s="93" t="s">
        <v>268</v>
      </c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364">
        <v>18086.7</v>
      </c>
      <c r="AA41" s="365"/>
      <c r="AB41" s="365"/>
      <c r="AC41" s="365"/>
      <c r="AD41" s="365"/>
      <c r="AE41" s="365"/>
      <c r="AF41" s="365"/>
      <c r="AG41" s="366"/>
      <c r="AH41" s="318">
        <f>SUM(AN30,AH32:AN34,AH36:AN40)</f>
        <v>25006.9</v>
      </c>
      <c r="AI41" s="318"/>
      <c r="AJ41" s="318"/>
      <c r="AK41" s="318"/>
      <c r="AL41" s="318"/>
      <c r="AM41" s="318"/>
      <c r="AN41" s="413"/>
    </row>
    <row r="42" spans="1:48" ht="28.5" customHeight="1">
      <c r="A42" s="283" t="s">
        <v>207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278"/>
      <c r="AA42" s="278"/>
      <c r="AB42" s="278"/>
      <c r="AC42" s="278"/>
      <c r="AD42" s="278"/>
      <c r="AE42" s="278"/>
      <c r="AF42" s="278"/>
      <c r="AG42" s="278"/>
      <c r="AH42" s="279"/>
      <c r="AI42" s="279"/>
      <c r="AJ42" s="279"/>
      <c r="AK42" s="279"/>
      <c r="AL42" s="279"/>
      <c r="AM42" s="279"/>
      <c r="AN42" s="279"/>
    </row>
    <row r="43" spans="1:48" ht="22.5" customHeight="1">
      <c r="A43" s="372" t="s">
        <v>44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4"/>
      <c r="V43" s="371" t="s">
        <v>156</v>
      </c>
      <c r="W43" s="371"/>
      <c r="X43" s="371"/>
      <c r="Y43" s="371"/>
      <c r="Z43" s="318">
        <f>Z28+Z41+Z42</f>
        <v>22738</v>
      </c>
      <c r="AA43" s="319"/>
      <c r="AB43" s="319"/>
      <c r="AC43" s="319"/>
      <c r="AD43" s="319"/>
      <c r="AE43" s="319"/>
      <c r="AF43" s="319"/>
      <c r="AG43" s="319"/>
      <c r="AH43" s="318">
        <f>AH28+AH41+AH42</f>
        <v>30742.9</v>
      </c>
      <c r="AI43" s="319"/>
      <c r="AJ43" s="319"/>
      <c r="AK43" s="319"/>
      <c r="AL43" s="319"/>
      <c r="AM43" s="319"/>
      <c r="AN43" s="319"/>
      <c r="AP43" s="40">
        <f>AH43+AR68</f>
        <v>48.105430000003253</v>
      </c>
    </row>
    <row r="44" spans="1:48" ht="4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169"/>
      <c r="AI44" s="169"/>
      <c r="AJ44" s="169"/>
      <c r="AK44" s="169"/>
      <c r="AL44" s="169"/>
      <c r="AM44" s="169"/>
      <c r="AN44" s="169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69">
        <v>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1"/>
      <c r="V46" s="281">
        <v>2</v>
      </c>
      <c r="W46" s="281"/>
      <c r="X46" s="281"/>
      <c r="Y46" s="281"/>
      <c r="Z46" s="253">
        <v>3</v>
      </c>
      <c r="AA46" s="254"/>
      <c r="AB46" s="254"/>
      <c r="AC46" s="254"/>
      <c r="AD46" s="254"/>
      <c r="AE46" s="254"/>
      <c r="AF46" s="254"/>
      <c r="AG46" s="255"/>
      <c r="AH46" s="253">
        <v>4</v>
      </c>
      <c r="AI46" s="254"/>
      <c r="AJ46" s="254"/>
      <c r="AK46" s="254"/>
      <c r="AL46" s="254"/>
      <c r="AM46" s="254"/>
      <c r="AN46" s="255"/>
    </row>
    <row r="47" spans="1:48" ht="19.5" customHeight="1">
      <c r="A47" s="355" t="s">
        <v>46</v>
      </c>
      <c r="B47" s="356"/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7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370"/>
      <c r="AI47" s="370"/>
      <c r="AJ47" s="370"/>
      <c r="AK47" s="370"/>
      <c r="AL47" s="370"/>
      <c r="AM47" s="370"/>
      <c r="AN47" s="370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367">
        <v>5934.6</v>
      </c>
      <c r="AA48" s="368"/>
      <c r="AB48" s="368"/>
      <c r="AC48" s="368"/>
      <c r="AD48" s="368"/>
      <c r="AE48" s="368"/>
      <c r="AF48" s="368"/>
      <c r="AG48" s="369"/>
      <c r="AH48" s="161"/>
      <c r="AI48" s="162"/>
      <c r="AJ48" s="162"/>
      <c r="AK48" s="162"/>
      <c r="AL48" s="162"/>
      <c r="AM48" s="162"/>
      <c r="AN48" s="148">
        <f t="array" ref="AN48">-ROUND(SUM(IF(LEFT('[1]декабрь 2020'!$A$3:$A$150,2)="40",'[1]декабрь 2020'!$AW$3:$AW$150))/1000,1)</f>
        <v>7.5</v>
      </c>
      <c r="AP48" s="94">
        <v>40</v>
      </c>
    </row>
    <row r="49" spans="1:44" ht="13.5" customHeight="1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278"/>
      <c r="AA49" s="278"/>
      <c r="AB49" s="278"/>
      <c r="AC49" s="278"/>
      <c r="AD49" s="278"/>
      <c r="AE49" s="278"/>
      <c r="AF49" s="278"/>
      <c r="AG49" s="278"/>
      <c r="AH49" s="161"/>
      <c r="AI49" s="162"/>
      <c r="AJ49" s="162"/>
      <c r="AK49" s="162"/>
      <c r="AL49" s="162"/>
      <c r="AM49" s="162"/>
      <c r="AN49" s="163">
        <f t="array" ref="AN49">-ROUND(SUM(IF((LEFT('[1]декабрь 2020'!$A$3:$A$150,2)="41"),'[1]декабрь 2020'!$AW$3:$AW$150))/1000,1)-ROUND(SUM(IF((LEFT('[1]декабрь 2020'!$A$3:$A$150,2)="42"),'[1]декабрь 2020'!$AW$3:$AW$150))/1000,1)</f>
        <v>3434.2</v>
      </c>
      <c r="AP49" s="159" t="s">
        <v>270</v>
      </c>
      <c r="AQ49" s="159" t="s">
        <v>271</v>
      </c>
    </row>
    <row r="50" spans="1:44" ht="13.5" customHeight="1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278"/>
      <c r="AA50" s="278"/>
      <c r="AB50" s="278"/>
      <c r="AC50" s="278"/>
      <c r="AD50" s="278"/>
      <c r="AE50" s="278"/>
      <c r="AF50" s="278"/>
      <c r="AG50" s="278"/>
      <c r="AH50" s="161"/>
      <c r="AI50" s="162"/>
      <c r="AJ50" s="162"/>
      <c r="AK50" s="162"/>
      <c r="AL50" s="162"/>
      <c r="AM50" s="162"/>
      <c r="AN50" s="163">
        <f t="array" ref="AN50">-ROUND(SUM(IF(LEFT('[1]декабрь 2020'!$A$3:$A$150,2)="43",'[1]декабрь 2020'!$AW$3:$AW$150))/1000,1)</f>
        <v>0</v>
      </c>
      <c r="AP50" s="159" t="s">
        <v>272</v>
      </c>
    </row>
    <row r="51" spans="1:44" ht="13.5" customHeight="1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367">
        <v>1865.4</v>
      </c>
      <c r="AA51" s="368"/>
      <c r="AB51" s="368"/>
      <c r="AC51" s="368"/>
      <c r="AD51" s="368"/>
      <c r="AE51" s="368"/>
      <c r="AF51" s="368"/>
      <c r="AG51" s="369"/>
      <c r="AH51" s="161"/>
      <c r="AI51" s="162"/>
      <c r="AJ51" s="162"/>
      <c r="AK51" s="162"/>
      <c r="AL51" s="162"/>
      <c r="AM51" s="162"/>
      <c r="AN51" s="148">
        <f t="array" ref="AN51">-ROUND(SUM(IF((LEFT('[1]декабрь 2020'!$A$3:$A$150,3)="791"),'[1]декабрь 2020'!$AW$3:$AW$150))/1000,1)-ROUND(SUM(IF((LEFT('[1]декабрь 2020'!$A$3:$A$150,3)="441"),'[1]декабрь 2020'!$AW$3:$AW$150))/1000,1)</f>
        <v>9797.2999999999993</v>
      </c>
      <c r="AP51" s="36">
        <v>441</v>
      </c>
      <c r="AQ51" s="36"/>
    </row>
    <row r="52" spans="1:44" ht="13.5" customHeight="1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253" t="s">
        <v>117</v>
      </c>
      <c r="AA52" s="254"/>
      <c r="AB52" s="254"/>
      <c r="AC52" s="254"/>
      <c r="AD52" s="254"/>
      <c r="AE52" s="254"/>
      <c r="AF52" s="254"/>
      <c r="AG52" s="255"/>
      <c r="AH52" s="359" t="s">
        <v>118</v>
      </c>
      <c r="AI52" s="360"/>
      <c r="AJ52" s="360"/>
      <c r="AK52" s="360"/>
      <c r="AL52" s="360"/>
      <c r="AM52" s="360"/>
      <c r="AN52" s="361"/>
    </row>
    <row r="53" spans="1:44" ht="19.5" customHeight="1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62">
        <f>SUM(Z48:AG52)</f>
        <v>7800</v>
      </c>
      <c r="AA53" s="363"/>
      <c r="AB53" s="363"/>
      <c r="AC53" s="363"/>
      <c r="AD53" s="363"/>
      <c r="AE53" s="363"/>
      <c r="AF53" s="363"/>
      <c r="AG53" s="363"/>
      <c r="AH53" s="363">
        <f>SUM(AH48:AN52)</f>
        <v>13239</v>
      </c>
      <c r="AI53" s="363"/>
      <c r="AJ53" s="363"/>
      <c r="AK53" s="363"/>
      <c r="AL53" s="363"/>
      <c r="AM53" s="363"/>
      <c r="AN53" s="363"/>
    </row>
    <row r="54" spans="1:44" ht="27" customHeight="1">
      <c r="A54" s="315" t="s">
        <v>158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7"/>
      <c r="V54" s="283" t="s">
        <v>177</v>
      </c>
      <c r="W54" s="283"/>
      <c r="X54" s="283"/>
      <c r="Y54" s="283"/>
      <c r="Z54" s="364">
        <v>127.2</v>
      </c>
      <c r="AA54" s="365"/>
      <c r="AB54" s="365"/>
      <c r="AC54" s="365"/>
      <c r="AD54" s="365"/>
      <c r="AE54" s="365"/>
      <c r="AF54" s="365"/>
      <c r="AG54" s="366"/>
      <c r="AH54" s="62"/>
      <c r="AI54" s="37"/>
      <c r="AJ54" s="37"/>
      <c r="AK54" s="37"/>
      <c r="AL54" s="37"/>
      <c r="AM54" s="37"/>
      <c r="AN54" s="39">
        <f t="array" ref="AN54">-ROUND(SUM(IF((LEFT('[1]декабрь 2020'!$A$3:$A$150,2)="48")+(LEFT('[1]декабрь 2020'!$A$3:$A$150,2)="47")+(LEFT('[1]декабрь 2020'!$A$3:$A$150,2)="50")+(LEFT('[1]декабрь 2020'!$A$3:$A$150,2)="51")+(LEFT('[1]декабрь 2020'!$A$3:$A$150,2)="52")+(LEFT('[1]декабрь 2020'!$A$3:$A$150,2)="53")+(LEFT('[1]декабрь 2020'!$A$3:$A$150,2)="54")+(LEFT('[1]декабрь 2020'!$A$3:$A$150,2)="55"),'[1]декабрь 2020'!$AW$3:$AW$150))/1000,1)</f>
        <v>15400.9</v>
      </c>
      <c r="AP54" s="36">
        <v>47</v>
      </c>
      <c r="AQ54" s="159" t="s">
        <v>273</v>
      </c>
      <c r="AR54" s="159" t="s">
        <v>274</v>
      </c>
    </row>
    <row r="55" spans="1:44" ht="18" customHeight="1">
      <c r="A55" s="355" t="s">
        <v>159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7"/>
      <c r="V55" s="283"/>
      <c r="W55" s="283"/>
      <c r="X55" s="283"/>
      <c r="Y55" s="283"/>
      <c r="Z55" s="278"/>
      <c r="AA55" s="278"/>
      <c r="AB55" s="278"/>
      <c r="AC55" s="278"/>
      <c r="AD55" s="278"/>
      <c r="AE55" s="278"/>
      <c r="AF55" s="278"/>
      <c r="AG55" s="278"/>
      <c r="AH55" s="358"/>
      <c r="AI55" s="358"/>
      <c r="AJ55" s="358"/>
      <c r="AK55" s="358"/>
      <c r="AL55" s="358"/>
      <c r="AM55" s="358"/>
      <c r="AN55" s="358"/>
    </row>
    <row r="56" spans="1:44" ht="13.5" customHeight="1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69" t="s">
        <v>178</v>
      </c>
      <c r="W56" s="270"/>
      <c r="X56" s="270"/>
      <c r="Y56" s="271"/>
      <c r="Z56" s="278"/>
      <c r="AA56" s="278"/>
      <c r="AB56" s="278"/>
      <c r="AC56" s="278"/>
      <c r="AD56" s="278"/>
      <c r="AE56" s="278"/>
      <c r="AF56" s="278"/>
      <c r="AG56" s="278"/>
      <c r="AH56" s="279"/>
      <c r="AI56" s="279"/>
      <c r="AJ56" s="279"/>
      <c r="AK56" s="279"/>
      <c r="AL56" s="279"/>
      <c r="AM56" s="279"/>
      <c r="AN56" s="279"/>
    </row>
    <row r="57" spans="1:44" ht="13.5" customHeight="1">
      <c r="A57" s="338" t="s">
        <v>160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40"/>
      <c r="V57" s="341"/>
      <c r="W57" s="342"/>
      <c r="X57" s="342"/>
      <c r="Y57" s="343"/>
      <c r="Z57" s="344"/>
      <c r="AA57" s="345"/>
      <c r="AB57" s="345"/>
      <c r="AC57" s="345"/>
      <c r="AD57" s="345"/>
      <c r="AE57" s="345"/>
      <c r="AF57" s="345"/>
      <c r="AG57" s="346"/>
      <c r="AH57" s="335"/>
      <c r="AI57" s="336"/>
      <c r="AJ57" s="336"/>
      <c r="AK57" s="336"/>
      <c r="AL57" s="336"/>
      <c r="AM57" s="336"/>
      <c r="AN57" s="337"/>
    </row>
    <row r="58" spans="1:44" ht="13.5" customHeight="1">
      <c r="A58" s="347" t="s">
        <v>161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9"/>
      <c r="V58" s="350" t="s">
        <v>179</v>
      </c>
      <c r="W58" s="291"/>
      <c r="X58" s="291"/>
      <c r="Y58" s="351"/>
      <c r="Z58" s="352"/>
      <c r="AA58" s="353"/>
      <c r="AB58" s="353"/>
      <c r="AC58" s="353"/>
      <c r="AD58" s="353"/>
      <c r="AE58" s="353"/>
      <c r="AF58" s="353"/>
      <c r="AG58" s="354"/>
      <c r="AH58" s="331"/>
      <c r="AI58" s="332"/>
      <c r="AJ58" s="332"/>
      <c r="AK58" s="332"/>
      <c r="AL58" s="332"/>
      <c r="AM58" s="332"/>
      <c r="AN58" s="333"/>
    </row>
    <row r="59" spans="1:44" ht="13.5" customHeight="1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69" t="s">
        <v>180</v>
      </c>
      <c r="W59" s="270"/>
      <c r="X59" s="270"/>
      <c r="Y59" s="271"/>
      <c r="Z59" s="278"/>
      <c r="AA59" s="278"/>
      <c r="AB59" s="278"/>
      <c r="AC59" s="278"/>
      <c r="AD59" s="278"/>
      <c r="AE59" s="278"/>
      <c r="AF59" s="278"/>
      <c r="AG59" s="278"/>
      <c r="AH59" s="161"/>
      <c r="AI59" s="162"/>
      <c r="AJ59" s="162"/>
      <c r="AK59" s="162"/>
      <c r="AL59" s="162"/>
      <c r="AM59" s="162"/>
      <c r="AN59" s="148">
        <f t="array" ref="AN59">-ROUND(SUM(IF(LEFT('[1]декабрь 2020'!$A$3:$A$150,2)="63",'[1]декабрь 2020'!$AW$3:$AW$150))/1000,1)-ROUND(SUM(IF(LEFT('[1]декабрь 2020'!$A$3:$A$150,3)="62",'[1]декабрь 2020'!$AW$3:$AW$150))/1000,1)</f>
        <v>0</v>
      </c>
      <c r="AP59" s="159" t="s">
        <v>275</v>
      </c>
      <c r="AQ59" s="159" t="s">
        <v>276</v>
      </c>
    </row>
    <row r="60" spans="1:44" ht="13.5" customHeight="1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69" t="s">
        <v>181</v>
      </c>
      <c r="W60" s="270"/>
      <c r="X60" s="270"/>
      <c r="Y60" s="271"/>
      <c r="Z60" s="278">
        <v>2.4</v>
      </c>
      <c r="AA60" s="278"/>
      <c r="AB60" s="278"/>
      <c r="AC60" s="278"/>
      <c r="AD60" s="278"/>
      <c r="AE60" s="278"/>
      <c r="AF60" s="278"/>
      <c r="AG60" s="323"/>
      <c r="AH60" s="161"/>
      <c r="AI60" s="162"/>
      <c r="AJ60" s="162"/>
      <c r="AK60" s="162"/>
      <c r="AL60" s="162"/>
      <c r="AM60" s="162"/>
      <c r="AN60" s="148">
        <f t="array" ref="AN60">-ROUND(SUM(IF((LEFT('[1]декабрь 2020'!$A$3:$A$150,3)="641")+(LEFT('[1]декабрь 2020'!$A$3:$A$150,3)="642"),'[1]декабрь 2020'!$AW$3:$AW$150))/1000,1)</f>
        <v>7.8</v>
      </c>
      <c r="AP60" s="36">
        <v>641</v>
      </c>
      <c r="AQ60" s="36">
        <v>642</v>
      </c>
    </row>
    <row r="61" spans="1:44" ht="13.5" customHeight="1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69" t="s">
        <v>182</v>
      </c>
      <c r="W61" s="270"/>
      <c r="X61" s="270"/>
      <c r="Y61" s="271"/>
      <c r="Z61" s="278"/>
      <c r="AA61" s="278"/>
      <c r="AB61" s="278"/>
      <c r="AC61" s="278"/>
      <c r="AD61" s="278"/>
      <c r="AE61" s="278"/>
      <c r="AF61" s="278"/>
      <c r="AG61" s="278"/>
      <c r="AH61" s="331"/>
      <c r="AI61" s="332"/>
      <c r="AJ61" s="332"/>
      <c r="AK61" s="332"/>
      <c r="AL61" s="332"/>
      <c r="AM61" s="332"/>
      <c r="AN61" s="333"/>
    </row>
    <row r="62" spans="1:44" ht="13.5" customHeight="1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69" t="s">
        <v>183</v>
      </c>
      <c r="W62" s="270"/>
      <c r="X62" s="270"/>
      <c r="Y62" s="271"/>
      <c r="Z62" s="278"/>
      <c r="AA62" s="278"/>
      <c r="AB62" s="278"/>
      <c r="AC62" s="278"/>
      <c r="AD62" s="278"/>
      <c r="AE62" s="278"/>
      <c r="AF62" s="278"/>
      <c r="AG62" s="278"/>
      <c r="AH62" s="335"/>
      <c r="AI62" s="336"/>
      <c r="AJ62" s="336"/>
      <c r="AK62" s="336"/>
      <c r="AL62" s="336"/>
      <c r="AM62" s="336"/>
      <c r="AN62" s="337"/>
    </row>
    <row r="63" spans="1:44" ht="13.5" customHeight="1">
      <c r="A63" s="325" t="s">
        <v>166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7"/>
      <c r="V63" s="269" t="s">
        <v>184</v>
      </c>
      <c r="W63" s="270"/>
      <c r="X63" s="270"/>
      <c r="Y63" s="271"/>
      <c r="Z63" s="323">
        <v>9.9</v>
      </c>
      <c r="AA63" s="328"/>
      <c r="AB63" s="328"/>
      <c r="AC63" s="328"/>
      <c r="AD63" s="328"/>
      <c r="AE63" s="328"/>
      <c r="AF63" s="328"/>
      <c r="AG63" s="328"/>
      <c r="AH63" s="161"/>
      <c r="AI63" s="162"/>
      <c r="AJ63" s="162"/>
      <c r="AK63" s="162"/>
      <c r="AL63" s="162"/>
      <c r="AM63" s="162"/>
      <c r="AN63" s="148">
        <f t="array" ref="AN63">-ROUND(SUM(IF(LEFT('[1]декабрь 2020'!$A$3:$A$150,2)="66",'[1]декабрь 2020'!$AW$3:$AW$150))/1000,1)</f>
        <v>32.200000000000003</v>
      </c>
      <c r="AP63" s="36">
        <v>661</v>
      </c>
    </row>
    <row r="64" spans="1:44" ht="13.5" customHeight="1">
      <c r="A64" s="304" t="s">
        <v>167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8"/>
      <c r="V64" s="269" t="s">
        <v>185</v>
      </c>
      <c r="W64" s="270"/>
      <c r="X64" s="270"/>
      <c r="Y64" s="271"/>
      <c r="Z64" s="427">
        <v>0</v>
      </c>
      <c r="AA64" s="428"/>
      <c r="AB64" s="428"/>
      <c r="AC64" s="428"/>
      <c r="AD64" s="428"/>
      <c r="AE64" s="428"/>
      <c r="AF64" s="428"/>
      <c r="AG64" s="429"/>
      <c r="AH64" s="172"/>
      <c r="AI64" s="173"/>
      <c r="AJ64" s="173"/>
      <c r="AK64" s="173"/>
      <c r="AL64" s="173"/>
      <c r="AM64" s="173"/>
      <c r="AN64" s="148">
        <f t="array" ref="AN64">-ROUND(SUM(IF(LEFT('[1]декабрь 2020'!$A$3:$A$150,2)="69",'[1]декабрь 2020'!$AW$3:$AW$150))/1000,1)</f>
        <v>2063</v>
      </c>
    </row>
    <row r="65" spans="1:46" ht="13.5" customHeight="1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69" t="s">
        <v>186</v>
      </c>
      <c r="W65" s="270"/>
      <c r="X65" s="270"/>
      <c r="Y65" s="271"/>
      <c r="Z65" s="278">
        <v>14798.5</v>
      </c>
      <c r="AA65" s="278"/>
      <c r="AB65" s="278"/>
      <c r="AC65" s="278"/>
      <c r="AD65" s="278"/>
      <c r="AE65" s="278"/>
      <c r="AF65" s="278"/>
      <c r="AG65" s="323"/>
      <c r="AH65" s="161"/>
      <c r="AI65" s="162"/>
      <c r="AJ65" s="162"/>
      <c r="AK65" s="162"/>
      <c r="AL65" s="162"/>
      <c r="AM65" s="162"/>
      <c r="AN65" s="148">
        <f t="array" ref="AN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P65" s="36">
        <v>372</v>
      </c>
      <c r="AQ65" s="159" t="s">
        <v>254</v>
      </c>
      <c r="AR65" s="159" t="s">
        <v>277</v>
      </c>
      <c r="AS65" s="159" t="s">
        <v>278</v>
      </c>
      <c r="AT65" s="159" t="s">
        <v>279</v>
      </c>
    </row>
    <row r="66" spans="1:46" ht="17.25" customHeight="1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69" t="s">
        <v>187</v>
      </c>
      <c r="W66" s="270"/>
      <c r="X66" s="270"/>
      <c r="Y66" s="271"/>
      <c r="Z66" s="324">
        <f>SUM(Z56:AG60,Z62:AG65)</f>
        <v>14810.8</v>
      </c>
      <c r="AA66" s="324"/>
      <c r="AB66" s="324"/>
      <c r="AC66" s="324"/>
      <c r="AD66" s="324"/>
      <c r="AE66" s="324"/>
      <c r="AF66" s="324"/>
      <c r="AG66" s="324"/>
      <c r="AH66" s="324">
        <f>SUM(AH56:AN60,AH62:AN65)</f>
        <v>2103</v>
      </c>
      <c r="AI66" s="324"/>
      <c r="AJ66" s="324"/>
      <c r="AK66" s="324"/>
      <c r="AL66" s="324"/>
      <c r="AM66" s="324"/>
      <c r="AN66" s="324"/>
    </row>
    <row r="67" spans="1:46" ht="26.25" customHeight="1">
      <c r="A67" s="315" t="s">
        <v>169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7"/>
      <c r="V67" s="283" t="s">
        <v>188</v>
      </c>
      <c r="W67" s="283"/>
      <c r="X67" s="283"/>
      <c r="Y67" s="283"/>
      <c r="Z67" s="278"/>
      <c r="AA67" s="278"/>
      <c r="AB67" s="278"/>
      <c r="AC67" s="278"/>
      <c r="AD67" s="278"/>
      <c r="AE67" s="278"/>
      <c r="AF67" s="278"/>
      <c r="AG67" s="278"/>
      <c r="AH67" s="161"/>
      <c r="AI67" s="162"/>
      <c r="AJ67" s="162"/>
      <c r="AK67" s="162"/>
      <c r="AL67" s="162"/>
      <c r="AM67" s="162"/>
      <c r="AN67" s="163">
        <f t="array" ref="AN67">-ROUND(SUM(IF(LEFT('[1]декабрь 2020'!$A$3:$A$150,3)="680",'[1]декабрь 2020'!$AW$3:$AW$150))/1000,1)</f>
        <v>0</v>
      </c>
      <c r="AP67" s="159" t="s">
        <v>280</v>
      </c>
    </row>
    <row r="68" spans="1:46" ht="17.25" customHeight="1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22738</v>
      </c>
      <c r="AA68" s="319"/>
      <c r="AB68" s="319"/>
      <c r="AC68" s="319"/>
      <c r="AD68" s="319"/>
      <c r="AE68" s="319"/>
      <c r="AF68" s="319"/>
      <c r="AG68" s="319"/>
      <c r="AH68" s="318">
        <f>SUM(AH66:AN67,AH53,AH54:AN54)</f>
        <v>30742.9</v>
      </c>
      <c r="AI68" s="319"/>
      <c r="AJ68" s="319"/>
      <c r="AK68" s="319"/>
      <c r="AL68" s="319"/>
      <c r="AM68" s="319"/>
      <c r="AN68" s="319"/>
      <c r="AP68" s="40">
        <f>AH68-AH43</f>
        <v>0</v>
      </c>
      <c r="AR68" s="100">
        <f>'[1]декабрь 2020'!$AW$153/1000</f>
        <v>-30694.794569999998</v>
      </c>
      <c r="AS68" s="40">
        <f>AH68+AR68</f>
        <v>48.105430000003253</v>
      </c>
    </row>
    <row r="69" spans="1:46" ht="12" customHeight="1">
      <c r="A69" s="155"/>
      <c r="B69" s="155"/>
      <c r="C69" s="155"/>
      <c r="D69" s="155"/>
      <c r="F69" s="155"/>
      <c r="G69" s="155"/>
      <c r="H69" s="155"/>
      <c r="I69" s="155"/>
      <c r="J69" s="155"/>
      <c r="K69" s="155"/>
      <c r="L69" s="5"/>
      <c r="V69" s="155"/>
    </row>
    <row r="70" spans="1:46" ht="14.25" customHeight="1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6" ht="12.75" customHeight="1">
      <c r="A71" s="313" t="s">
        <v>292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6" ht="14.25" customHeight="1">
      <c r="A72" s="27"/>
      <c r="B72" s="27"/>
      <c r="C72" s="27"/>
      <c r="D72" s="27"/>
      <c r="E72" s="28"/>
      <c r="F72" s="27"/>
      <c r="G72" s="29"/>
      <c r="H72" s="160"/>
      <c r="I72" s="160"/>
      <c r="J72" s="160"/>
      <c r="K72" s="16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6" ht="15" customHeight="1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6" ht="12" customHeight="1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</row>
    <row r="75" spans="1:46" ht="41.25" customHeight="1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6" ht="14.25" customHeight="1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6" ht="27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421" t="s">
        <v>194</v>
      </c>
      <c r="W77" s="421"/>
      <c r="X77" s="421"/>
      <c r="Y77" s="421"/>
      <c r="Z77" s="272">
        <f>ROUND('[5]2дс'!$G$19/1000,1)</f>
        <v>25780.799999999999</v>
      </c>
      <c r="AA77" s="272"/>
      <c r="AB77" s="272"/>
      <c r="AC77" s="272"/>
      <c r="AD77" s="272"/>
      <c r="AE77" s="272"/>
      <c r="AF77" s="272"/>
      <c r="AG77" s="272"/>
      <c r="AH77" s="311">
        <v>41337.300000000003</v>
      </c>
      <c r="AI77" s="307"/>
      <c r="AJ77" s="307"/>
      <c r="AK77" s="307"/>
      <c r="AL77" s="307"/>
      <c r="AM77" s="307"/>
      <c r="AN77" s="68"/>
      <c r="AO77" s="65"/>
    </row>
    <row r="78" spans="1:46" ht="14.25" customHeight="1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421" t="s">
        <v>195</v>
      </c>
      <c r="W78" s="421"/>
      <c r="X78" s="421"/>
      <c r="Y78" s="421"/>
      <c r="Z78" s="306">
        <f>'3 кв2020 '!Z78:AG78+16207.1-232.5</f>
        <v>26438.5</v>
      </c>
      <c r="AA78" s="414"/>
      <c r="AB78" s="414"/>
      <c r="AC78" s="414"/>
      <c r="AD78" s="414"/>
      <c r="AE78" s="414"/>
      <c r="AF78" s="414"/>
      <c r="AG78" s="426"/>
      <c r="AH78" s="311">
        <v>0</v>
      </c>
      <c r="AI78" s="307"/>
      <c r="AJ78" s="307"/>
      <c r="AK78" s="307"/>
      <c r="AL78" s="307"/>
      <c r="AM78" s="307"/>
      <c r="AN78" s="68"/>
      <c r="AO78" s="65"/>
    </row>
    <row r="79" spans="1:46" ht="14.25" customHeight="1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421" t="s">
        <v>196</v>
      </c>
      <c r="W79" s="421"/>
      <c r="X79" s="421"/>
      <c r="Y79" s="421"/>
      <c r="Z79" s="422">
        <f>ROUND('[5]2дс'!$G$20/1000,1)</f>
        <v>2230.3000000000002</v>
      </c>
      <c r="AA79" s="423"/>
      <c r="AB79" s="423"/>
      <c r="AC79" s="423"/>
      <c r="AD79" s="423"/>
      <c r="AE79" s="423"/>
      <c r="AF79" s="423"/>
      <c r="AG79" s="424"/>
      <c r="AH79" s="311">
        <v>541.9</v>
      </c>
      <c r="AI79" s="307"/>
      <c r="AJ79" s="307"/>
      <c r="AK79" s="307"/>
      <c r="AL79" s="307"/>
      <c r="AM79" s="307"/>
      <c r="AN79" s="68"/>
      <c r="AO79" s="65"/>
    </row>
    <row r="80" spans="1:46" ht="16.5" customHeight="1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425" t="s">
        <v>197</v>
      </c>
      <c r="W80" s="425"/>
      <c r="X80" s="425"/>
      <c r="Y80" s="425"/>
      <c r="Z80" s="312">
        <f>SUM(Z77:AG79)</f>
        <v>54449.600000000006</v>
      </c>
      <c r="AA80" s="312"/>
      <c r="AB80" s="312"/>
      <c r="AC80" s="312"/>
      <c r="AD80" s="312"/>
      <c r="AE80" s="312"/>
      <c r="AF80" s="312"/>
      <c r="AG80" s="312"/>
      <c r="AH80" s="299">
        <v>41879.200000000004</v>
      </c>
      <c r="AI80" s="309"/>
      <c r="AJ80" s="309"/>
      <c r="AK80" s="309"/>
      <c r="AL80" s="309"/>
      <c r="AM80" s="309"/>
      <c r="AN80" s="39"/>
      <c r="AO80" s="66"/>
    </row>
    <row r="81" spans="1:41" ht="14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421" t="s">
        <v>198</v>
      </c>
      <c r="W81" s="421"/>
      <c r="X81" s="421"/>
      <c r="Y81" s="421"/>
      <c r="Z81" s="161" t="s">
        <v>117</v>
      </c>
      <c r="AA81" s="254">
        <f>241.4+2.7+753+716.2</f>
        <v>1713.3000000000002</v>
      </c>
      <c r="AB81" s="254"/>
      <c r="AC81" s="254"/>
      <c r="AD81" s="254"/>
      <c r="AE81" s="254"/>
      <c r="AF81" s="254"/>
      <c r="AG81" s="162" t="s">
        <v>218</v>
      </c>
      <c r="AH81" s="67" t="s">
        <v>117</v>
      </c>
      <c r="AI81" s="307">
        <v>44.5</v>
      </c>
      <c r="AJ81" s="307"/>
      <c r="AK81" s="307"/>
      <c r="AL81" s="307"/>
      <c r="AM81" s="307"/>
      <c r="AN81" s="95" t="s">
        <v>218</v>
      </c>
    </row>
    <row r="82" spans="1:41" ht="14.25" customHeight="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421" t="s">
        <v>199</v>
      </c>
      <c r="W82" s="421"/>
      <c r="X82" s="421"/>
      <c r="Y82" s="421"/>
      <c r="Z82" s="161" t="s">
        <v>117</v>
      </c>
      <c r="AA82" s="414">
        <f>343.8+337.8+486.8+340.2+424.6</f>
        <v>1933.2000000000003</v>
      </c>
      <c r="AB82" s="414"/>
      <c r="AC82" s="414"/>
      <c r="AD82" s="414"/>
      <c r="AE82" s="414"/>
      <c r="AF82" s="414"/>
      <c r="AG82" s="162" t="s">
        <v>218</v>
      </c>
      <c r="AH82" s="67" t="s">
        <v>117</v>
      </c>
      <c r="AI82" s="307">
        <v>1102.0999999999999</v>
      </c>
      <c r="AJ82" s="307"/>
      <c r="AK82" s="307"/>
      <c r="AL82" s="307"/>
      <c r="AM82" s="307"/>
      <c r="AN82" s="95" t="s">
        <v>218</v>
      </c>
    </row>
    <row r="83" spans="1:41" ht="14.25" customHeight="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161" t="s">
        <v>117</v>
      </c>
      <c r="AA83" s="430" t="e">
        <f t="array" ref="AA83">ROUND(SUM(IF(LEFT('[1]декабрь 2020'!$A$1:$A$150,3)="791",'[1]декабрь 2020'!$AR$1:$AR$150))/1000,1)+'3 кв2020 '!AA83:AE83-'4 кв2020'!AA82:AF82+3316.3+90.5</f>
        <v>#REF!</v>
      </c>
      <c r="AB83" s="430"/>
      <c r="AC83" s="430"/>
      <c r="AD83" s="430"/>
      <c r="AE83" s="430"/>
      <c r="AF83" s="430"/>
      <c r="AG83" s="162" t="s">
        <v>218</v>
      </c>
      <c r="AH83" s="67" t="s">
        <v>117</v>
      </c>
      <c r="AI83" s="307">
        <v>41978.7</v>
      </c>
      <c r="AJ83" s="307"/>
      <c r="AK83" s="307"/>
      <c r="AL83" s="307"/>
      <c r="AM83" s="307"/>
      <c r="AN83" s="95" t="s">
        <v>218</v>
      </c>
    </row>
    <row r="84" spans="1:41" ht="16.5" customHeight="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161" t="s">
        <v>117</v>
      </c>
      <c r="AA84" s="309" t="e">
        <f>SUM(AA81:AF83)</f>
        <v>#REF!</v>
      </c>
      <c r="AB84" s="309"/>
      <c r="AC84" s="309"/>
      <c r="AD84" s="309"/>
      <c r="AE84" s="309"/>
      <c r="AF84" s="309"/>
      <c r="AG84" s="162" t="s">
        <v>218</v>
      </c>
      <c r="AH84" s="67" t="s">
        <v>117</v>
      </c>
      <c r="AI84" s="302">
        <v>43125.299999999996</v>
      </c>
      <c r="AJ84" s="302"/>
      <c r="AK84" s="302"/>
      <c r="AL84" s="302"/>
      <c r="AM84" s="302"/>
      <c r="AN84" s="95" t="s">
        <v>218</v>
      </c>
    </row>
    <row r="85" spans="1:41" ht="14.25" customHeight="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 t="e">
        <f>Z80-AA84</f>
        <v>#REF!</v>
      </c>
      <c r="AA85" s="272"/>
      <c r="AB85" s="272"/>
      <c r="AC85" s="272"/>
      <c r="AD85" s="272"/>
      <c r="AE85" s="272"/>
      <c r="AF85" s="272"/>
      <c r="AG85" s="272"/>
      <c r="AH85" s="306">
        <v>-1246.0999999999913</v>
      </c>
      <c r="AI85" s="414"/>
      <c r="AJ85" s="414"/>
      <c r="AK85" s="414"/>
      <c r="AL85" s="414"/>
      <c r="AM85" s="414"/>
      <c r="AN85" s="68"/>
      <c r="AO85" s="65"/>
    </row>
    <row r="86" spans="1:41" ht="14.25" customHeight="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161" t="s">
        <v>117</v>
      </c>
      <c r="AA86" s="254"/>
      <c r="AB86" s="254"/>
      <c r="AC86" s="254"/>
      <c r="AD86" s="254"/>
      <c r="AE86" s="254"/>
      <c r="AF86" s="254"/>
      <c r="AG86" s="162" t="s">
        <v>218</v>
      </c>
      <c r="AH86" s="418" t="s">
        <v>293</v>
      </c>
      <c r="AI86" s="419"/>
      <c r="AJ86" s="419"/>
      <c r="AK86" s="419"/>
      <c r="AL86" s="419"/>
      <c r="AM86" s="419"/>
      <c r="AN86" s="420"/>
      <c r="AO86" s="65"/>
    </row>
    <row r="87" spans="1:41" ht="16.5" customHeight="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 t="e">
        <f>Z85-AA86</f>
        <v>#REF!</v>
      </c>
      <c r="AA87" s="300"/>
      <c r="AB87" s="300"/>
      <c r="AC87" s="300"/>
      <c r="AD87" s="300"/>
      <c r="AE87" s="300"/>
      <c r="AF87" s="300"/>
      <c r="AG87" s="301"/>
      <c r="AH87" s="299">
        <v>-1246.0999999999913</v>
      </c>
      <c r="AI87" s="309"/>
      <c r="AJ87" s="309"/>
      <c r="AK87" s="309"/>
      <c r="AL87" s="309"/>
      <c r="AM87" s="309"/>
      <c r="AN87" s="171"/>
      <c r="AO87" s="65"/>
    </row>
    <row r="88" spans="1:41" ht="4.5" customHeight="1"/>
    <row r="89" spans="1:41" ht="15" customHeight="1">
      <c r="B89" s="247" t="s">
        <v>91</v>
      </c>
      <c r="C89" s="247"/>
      <c r="D89" s="247"/>
      <c r="E89" s="247"/>
      <c r="F89" s="247"/>
      <c r="G89" s="247"/>
      <c r="H89" s="247"/>
      <c r="I89" s="247"/>
      <c r="Q89" s="159"/>
      <c r="R89" s="159"/>
      <c r="S89" s="159"/>
      <c r="T89" s="159"/>
      <c r="U89" s="246"/>
      <c r="V89" s="246"/>
      <c r="W89" s="246"/>
      <c r="X89" s="246"/>
      <c r="AI89" s="243" t="s">
        <v>227</v>
      </c>
      <c r="AJ89" s="243"/>
      <c r="AK89" s="243"/>
      <c r="AL89" s="243"/>
      <c r="AM89" s="243"/>
    </row>
    <row r="90" spans="1:41">
      <c r="Q90" s="159"/>
      <c r="R90" s="159"/>
      <c r="S90" s="159"/>
      <c r="T90" s="159"/>
      <c r="U90" s="294" t="s">
        <v>94</v>
      </c>
      <c r="V90" s="294"/>
      <c r="W90" s="294"/>
      <c r="X90" s="294"/>
      <c r="AI90" s="294" t="s">
        <v>93</v>
      </c>
      <c r="AJ90" s="294"/>
      <c r="AK90" s="294"/>
      <c r="AL90" s="294"/>
      <c r="AM90" s="294"/>
    </row>
    <row r="91" spans="1:41" ht="4.5" customHeight="1">
      <c r="Q91" s="159"/>
      <c r="R91" s="159"/>
      <c r="S91" s="159"/>
      <c r="T91" s="159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159"/>
      <c r="R92" s="159"/>
      <c r="S92" s="159"/>
      <c r="T92" s="159"/>
      <c r="U92" s="246"/>
      <c r="V92" s="246"/>
      <c r="W92" s="246"/>
      <c r="X92" s="246"/>
      <c r="AI92" s="243" t="s">
        <v>228</v>
      </c>
      <c r="AJ92" s="243"/>
      <c r="AK92" s="243"/>
      <c r="AL92" s="243"/>
      <c r="AM92" s="243"/>
    </row>
    <row r="93" spans="1:41">
      <c r="Q93" s="159"/>
      <c r="R93" s="159"/>
      <c r="S93" s="159"/>
      <c r="T93" s="159"/>
      <c r="U93" s="294" t="s">
        <v>94</v>
      </c>
      <c r="V93" s="294"/>
      <c r="W93" s="294"/>
      <c r="X93" s="294"/>
      <c r="AI93" s="294" t="s">
        <v>93</v>
      </c>
      <c r="AJ93" s="294"/>
      <c r="AK93" s="294"/>
      <c r="AL93" s="294"/>
      <c r="AM93" s="294"/>
    </row>
    <row r="94" spans="1:41" ht="7.5" customHeight="1"/>
  </sheetData>
  <mergeCells count="279">
    <mergeCell ref="W1:AN1"/>
    <mergeCell ref="A3:AN3"/>
    <mergeCell ref="A4:AN4"/>
    <mergeCell ref="AI5:AN5"/>
    <mergeCell ref="A6:AF6"/>
    <mergeCell ref="AI6:AK6"/>
    <mergeCell ref="AM6:AN6"/>
    <mergeCell ref="AA83:AF83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A11:M11"/>
    <mergeCell ref="N11:Z11"/>
    <mergeCell ref="A12:Z12"/>
    <mergeCell ref="A13:F13"/>
    <mergeCell ref="I15:S15"/>
    <mergeCell ref="T15:Y15"/>
    <mergeCell ref="Z15:AG15"/>
    <mergeCell ref="A9:I9"/>
    <mergeCell ref="J9:Z9"/>
    <mergeCell ref="AB9:AG9"/>
    <mergeCell ref="A19:U19"/>
    <mergeCell ref="V19:Y19"/>
    <mergeCell ref="Z19:AG19"/>
    <mergeCell ref="AH19:AN19"/>
    <mergeCell ref="A20:U20"/>
    <mergeCell ref="V20:Y20"/>
    <mergeCell ref="Z20:AG20"/>
    <mergeCell ref="AH20:AN20"/>
    <mergeCell ref="AH15:AN15"/>
    <mergeCell ref="I16:S16"/>
    <mergeCell ref="A18:U18"/>
    <mergeCell ref="V18:Y18"/>
    <mergeCell ref="Z18:AG18"/>
    <mergeCell ref="AH18:AN18"/>
    <mergeCell ref="AH22:AN22"/>
    <mergeCell ref="A23:U23"/>
    <mergeCell ref="V23:Y23"/>
    <mergeCell ref="Z23:AG23"/>
    <mergeCell ref="A24:U24"/>
    <mergeCell ref="V24:Y24"/>
    <mergeCell ref="AB24:AD24"/>
    <mergeCell ref="A21:U21"/>
    <mergeCell ref="V21:Y21"/>
    <mergeCell ref="Z21:AG21"/>
    <mergeCell ref="A22:U22"/>
    <mergeCell ref="V22:Y22"/>
    <mergeCell ref="Z22:AG22"/>
    <mergeCell ref="AI24:AL24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31:U31"/>
    <mergeCell ref="V31:Y31"/>
    <mergeCell ref="Z31:AG31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H35:AN35"/>
    <mergeCell ref="A36:U36"/>
    <mergeCell ref="V36:Y36"/>
    <mergeCell ref="Z36:AG36"/>
    <mergeCell ref="A37:U37"/>
    <mergeCell ref="V37:Y37"/>
    <mergeCell ref="Z37:AG37"/>
    <mergeCell ref="A33:U33"/>
    <mergeCell ref="V33:Y33"/>
    <mergeCell ref="A34:U34"/>
    <mergeCell ref="V34:Y34"/>
    <mergeCell ref="Z34:AG34"/>
    <mergeCell ref="A35:U35"/>
    <mergeCell ref="V35:Y35"/>
    <mergeCell ref="Z35:AG35"/>
    <mergeCell ref="A40:U40"/>
    <mergeCell ref="V40:Y40"/>
    <mergeCell ref="Z40:AG40"/>
    <mergeCell ref="A41:U41"/>
    <mergeCell ref="V41:Y41"/>
    <mergeCell ref="Z41:AG41"/>
    <mergeCell ref="A38:U38"/>
    <mergeCell ref="V38:Y38"/>
    <mergeCell ref="Z38:AG38"/>
    <mergeCell ref="A39:U39"/>
    <mergeCell ref="V39:Y39"/>
    <mergeCell ref="Z39:AG39"/>
    <mergeCell ref="AH41:AN41"/>
    <mergeCell ref="A42:U42"/>
    <mergeCell ref="V42:Y42"/>
    <mergeCell ref="Z42:AG42"/>
    <mergeCell ref="AH42:AN42"/>
    <mergeCell ref="A43:U43"/>
    <mergeCell ref="V43:Y43"/>
    <mergeCell ref="Z43:AG43"/>
    <mergeCell ref="AH43:AN43"/>
    <mergeCell ref="AH47:AN47"/>
    <mergeCell ref="A48:U48"/>
    <mergeCell ref="V48:Y48"/>
    <mergeCell ref="Z48:AG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49:U49"/>
    <mergeCell ref="V49:Y49"/>
    <mergeCell ref="Z49:AG49"/>
    <mergeCell ref="A50:U50"/>
    <mergeCell ref="V50:Y50"/>
    <mergeCell ref="Z50:AG50"/>
    <mergeCell ref="A47:U47"/>
    <mergeCell ref="V47:Y47"/>
    <mergeCell ref="Z47:AG47"/>
    <mergeCell ref="AH52:AN52"/>
    <mergeCell ref="A53:U53"/>
    <mergeCell ref="V53:Y53"/>
    <mergeCell ref="Z53:AG53"/>
    <mergeCell ref="AH53:AN53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60:U60"/>
    <mergeCell ref="V60:Y60"/>
    <mergeCell ref="Z60:AG60"/>
    <mergeCell ref="A65:U65"/>
    <mergeCell ref="V65:Y65"/>
    <mergeCell ref="Z65:AG65"/>
    <mergeCell ref="A66:U66"/>
    <mergeCell ref="V66:Y66"/>
    <mergeCell ref="Z66:AG66"/>
    <mergeCell ref="A63:U63"/>
    <mergeCell ref="V63:Y63"/>
    <mergeCell ref="Z63:AG63"/>
    <mergeCell ref="A64:U64"/>
    <mergeCell ref="V64:Y64"/>
    <mergeCell ref="Z64:AG64"/>
    <mergeCell ref="AH66:AN66"/>
    <mergeCell ref="AH75:AN75"/>
    <mergeCell ref="A76:U76"/>
    <mergeCell ref="V76:Y76"/>
    <mergeCell ref="Z76:AG76"/>
    <mergeCell ref="AH76:AN76"/>
    <mergeCell ref="AH68:AN68"/>
    <mergeCell ref="A70:AN70"/>
    <mergeCell ref="A71:AN71"/>
    <mergeCell ref="Z72:AG72"/>
    <mergeCell ref="Z73:AG73"/>
    <mergeCell ref="AH73:AN73"/>
    <mergeCell ref="A67:U67"/>
    <mergeCell ref="V67:Y67"/>
    <mergeCell ref="Z67:AG67"/>
    <mergeCell ref="A68:U68"/>
    <mergeCell ref="V68:Y68"/>
    <mergeCell ref="Z68:AG68"/>
    <mergeCell ref="A77:U77"/>
    <mergeCell ref="V77:Y77"/>
    <mergeCell ref="Z77:AG77"/>
    <mergeCell ref="A78:U78"/>
    <mergeCell ref="V78:Y78"/>
    <mergeCell ref="Z78:AG78"/>
    <mergeCell ref="A75:U75"/>
    <mergeCell ref="V75:Y75"/>
    <mergeCell ref="Z75:AG75"/>
    <mergeCell ref="A81:U81"/>
    <mergeCell ref="V81:Y81"/>
    <mergeCell ref="AA81:AF81"/>
    <mergeCell ref="AI81:AM81"/>
    <mergeCell ref="A82:U82"/>
    <mergeCell ref="V82:Y82"/>
    <mergeCell ref="AA82:AF82"/>
    <mergeCell ref="AI82:AM82"/>
    <mergeCell ref="A79:U79"/>
    <mergeCell ref="V79:Y79"/>
    <mergeCell ref="Z79:AG79"/>
    <mergeCell ref="A80:U80"/>
    <mergeCell ref="V80:Y80"/>
    <mergeCell ref="Z80:AG80"/>
    <mergeCell ref="U92:X92"/>
    <mergeCell ref="AI92:AM92"/>
    <mergeCell ref="A87:U87"/>
    <mergeCell ref="V87:Y87"/>
    <mergeCell ref="Z87:AG87"/>
    <mergeCell ref="B89:I89"/>
    <mergeCell ref="U89:X89"/>
    <mergeCell ref="AI89:AM89"/>
    <mergeCell ref="V84:Y84"/>
    <mergeCell ref="AA84:AF84"/>
    <mergeCell ref="AI84:AM84"/>
    <mergeCell ref="U93:X93"/>
    <mergeCell ref="AI93:AM93"/>
    <mergeCell ref="AH77:AM77"/>
    <mergeCell ref="AH78:AM78"/>
    <mergeCell ref="AH79:AM79"/>
    <mergeCell ref="AH80:AM80"/>
    <mergeCell ref="AH85:AM85"/>
    <mergeCell ref="AH87:AM87"/>
    <mergeCell ref="U90:X90"/>
    <mergeCell ref="AI90:AM90"/>
    <mergeCell ref="U91:X91"/>
    <mergeCell ref="AI91:AM91"/>
    <mergeCell ref="A85:U85"/>
    <mergeCell ref="V85:Y85"/>
    <mergeCell ref="Z85:AG85"/>
    <mergeCell ref="A86:U86"/>
    <mergeCell ref="V86:Y86"/>
    <mergeCell ref="AA86:AF86"/>
    <mergeCell ref="AH86:AN86"/>
    <mergeCell ref="A83:U83"/>
    <mergeCell ref="V83:Y83"/>
    <mergeCell ref="AI83:AM83"/>
    <mergeCell ref="A84:U84"/>
    <mergeCell ref="B92:I9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V93"/>
  <sheetViews>
    <sheetView view="pageBreakPreview" topLeftCell="A13" zoomScale="84" zoomScaleSheetLayoutView="84" workbookViewId="0">
      <selection activeCell="AH42" sqref="AH42:AN42"/>
    </sheetView>
  </sheetViews>
  <sheetFormatPr defaultRowHeight="12.75"/>
  <cols>
    <col min="1" max="3" width="2.28515625" style="177" customWidth="1"/>
    <col min="4" max="4" width="3.140625" style="177" customWidth="1"/>
    <col min="5" max="5" width="2.28515625" style="177" customWidth="1"/>
    <col min="6" max="6" width="2.7109375" style="177" customWidth="1"/>
    <col min="7" max="20" width="2.28515625" style="177" customWidth="1"/>
    <col min="21" max="21" width="1.140625" style="177" customWidth="1"/>
    <col min="22" max="24" width="2.28515625" style="177" customWidth="1"/>
    <col min="25" max="25" width="1.28515625" style="177" customWidth="1"/>
    <col min="26" max="29" width="2.28515625" style="177" customWidth="1"/>
    <col min="30" max="34" width="2.28515625" style="188" customWidth="1"/>
    <col min="35" max="35" width="2.5703125" style="188" customWidth="1"/>
    <col min="36" max="36" width="2.85546875" style="188" customWidth="1"/>
    <col min="37" max="37" width="2.28515625" style="188" hidden="1" customWidth="1"/>
    <col min="38" max="38" width="4.7109375" style="188" customWidth="1"/>
    <col min="39" max="39" width="2" style="188" customWidth="1"/>
    <col min="40" max="40" width="7.85546875" style="188" customWidth="1"/>
    <col min="41" max="41" width="9.140625" style="188"/>
    <col min="42" max="42" width="13.28515625" style="188" customWidth="1"/>
    <col min="43" max="43" width="9.140625" style="188"/>
    <col min="44" max="44" width="11.7109375" style="188" customWidth="1"/>
    <col min="45" max="16384" width="9.140625" style="188"/>
  </cols>
  <sheetData>
    <row r="1" spans="1:40">
      <c r="W1" s="292" t="s">
        <v>208</v>
      </c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</row>
    <row r="3" spans="1:40" ht="15.75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15.75">
      <c r="A5" s="179"/>
      <c r="B5" s="179"/>
      <c r="C5" s="179"/>
      <c r="D5" s="179"/>
      <c r="E5" s="183"/>
      <c r="G5" s="179"/>
      <c r="H5" s="179"/>
      <c r="L5" s="5"/>
      <c r="AA5" s="183"/>
      <c r="AB5" s="183"/>
      <c r="AC5" s="183"/>
      <c r="AD5" s="183"/>
      <c r="AE5" s="183"/>
      <c r="AF5" s="183"/>
      <c r="AG5" s="183"/>
      <c r="AI5" s="256" t="s">
        <v>1</v>
      </c>
      <c r="AJ5" s="256"/>
      <c r="AK5" s="256"/>
      <c r="AL5" s="256"/>
      <c r="AM5" s="256"/>
      <c r="AN5" s="256"/>
    </row>
    <row r="6" spans="1:40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177"/>
      <c r="AI6" s="257" t="s">
        <v>290</v>
      </c>
      <c r="AJ6" s="258"/>
      <c r="AK6" s="259"/>
      <c r="AL6" s="174" t="s">
        <v>77</v>
      </c>
      <c r="AM6" s="284" t="s">
        <v>77</v>
      </c>
      <c r="AN6" s="284"/>
    </row>
    <row r="7" spans="1:40" ht="33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178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2.25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183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32.25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179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15.75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78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294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178"/>
      <c r="AC11" s="181"/>
      <c r="AD11" s="181"/>
      <c r="AE11" s="181"/>
      <c r="AF11" s="181"/>
    </row>
    <row r="12" spans="1:40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178"/>
      <c r="AC12" s="12"/>
      <c r="AD12" s="12"/>
      <c r="AE12" s="177"/>
      <c r="AF12" s="177"/>
    </row>
    <row r="13" spans="1:40">
      <c r="A13" s="247" t="s">
        <v>130</v>
      </c>
      <c r="B13" s="247"/>
      <c r="C13" s="247"/>
      <c r="D13" s="247"/>
      <c r="E13" s="247"/>
      <c r="F13" s="247"/>
      <c r="AD13" s="177"/>
      <c r="AE13" s="177"/>
      <c r="AF13" s="177"/>
    </row>
    <row r="14" spans="1:40" ht="15.75">
      <c r="C14" s="12"/>
      <c r="D14" s="12"/>
      <c r="E14" s="12"/>
      <c r="F14" s="12"/>
      <c r="L14" s="5"/>
    </row>
    <row r="15" spans="1:40">
      <c r="I15" s="189" t="s">
        <v>303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>
      <c r="A16" s="289" t="s">
        <v>302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</row>
    <row r="17" spans="1:46" ht="15.75">
      <c r="G17" s="15"/>
      <c r="H17" s="15"/>
      <c r="L17" s="5"/>
    </row>
    <row r="18" spans="1:46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 t="s">
        <v>170</v>
      </c>
      <c r="W18" s="431"/>
      <c r="X18" s="431"/>
      <c r="Y18" s="431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>
      <c r="A19" s="281">
        <v>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>
      <c r="A20" s="283" t="s">
        <v>21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</row>
    <row r="21" spans="1:46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433">
        <v>0.2</v>
      </c>
      <c r="AA21" s="433">
        <v>127.2</v>
      </c>
      <c r="AB21" s="433">
        <v>127.2</v>
      </c>
      <c r="AC21" s="433">
        <v>127.2</v>
      </c>
      <c r="AD21" s="433">
        <v>127.2</v>
      </c>
      <c r="AE21" s="433">
        <v>127.2</v>
      </c>
      <c r="AF21" s="433">
        <v>127.2</v>
      </c>
      <c r="AG21" s="433">
        <v>127.2</v>
      </c>
      <c r="AH21" s="367">
        <v>11.1</v>
      </c>
      <c r="AI21" s="368"/>
      <c r="AJ21" s="368"/>
      <c r="AK21" s="368"/>
      <c r="AL21" s="368"/>
      <c r="AM21" s="368"/>
      <c r="AN21" s="369"/>
      <c r="AP21" s="93" t="s">
        <v>247</v>
      </c>
    </row>
    <row r="22" spans="1:46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Z23+Z24</f>
        <v>5735.8000000000011</v>
      </c>
      <c r="AA22" s="388"/>
      <c r="AB22" s="388"/>
      <c r="AC22" s="388"/>
      <c r="AD22" s="388"/>
      <c r="AE22" s="388"/>
      <c r="AF22" s="388"/>
      <c r="AG22" s="388"/>
      <c r="AH22" s="434">
        <f>AH23+AH24</f>
        <v>8194.73</v>
      </c>
      <c r="AI22" s="279"/>
      <c r="AJ22" s="279"/>
      <c r="AK22" s="279"/>
      <c r="AL22" s="279"/>
      <c r="AM22" s="279"/>
      <c r="AN22" s="279"/>
    </row>
    <row r="23" spans="1:46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15989.7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432">
        <f>18497.03+4.4</f>
        <v>18501.43</v>
      </c>
      <c r="AI23" s="432"/>
      <c r="AJ23" s="432"/>
      <c r="AK23" s="432"/>
      <c r="AL23" s="432"/>
      <c r="AM23" s="432"/>
      <c r="AN23" s="432"/>
      <c r="AP23" s="93" t="s">
        <v>232</v>
      </c>
      <c r="AQ23" s="93" t="s">
        <v>233</v>
      </c>
    </row>
    <row r="24" spans="1:46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433" t="s">
        <v>295</v>
      </c>
      <c r="AA24" s="433"/>
      <c r="AB24" s="433"/>
      <c r="AC24" s="433"/>
      <c r="AD24" s="433"/>
      <c r="AE24" s="433"/>
      <c r="AF24" s="433"/>
      <c r="AG24" s="433"/>
      <c r="AH24" s="442">
        <v>-10306.700000000001</v>
      </c>
      <c r="AI24" s="443"/>
      <c r="AJ24" s="443"/>
      <c r="AK24" s="443"/>
      <c r="AL24" s="443"/>
      <c r="AM24" s="443"/>
      <c r="AN24" s="444"/>
      <c r="AP24" s="94">
        <v>131</v>
      </c>
      <c r="AQ24" s="94">
        <v>132</v>
      </c>
      <c r="AR24" s="93" t="s">
        <v>248</v>
      </c>
    </row>
    <row r="25" spans="1:46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388"/>
      <c r="AA25" s="388"/>
      <c r="AB25" s="388"/>
      <c r="AC25" s="388"/>
      <c r="AD25" s="388"/>
      <c r="AE25" s="388"/>
      <c r="AF25" s="388"/>
      <c r="AG25" s="388"/>
      <c r="AH25" s="279"/>
      <c r="AI25" s="279"/>
      <c r="AJ25" s="279"/>
      <c r="AK25" s="279"/>
      <c r="AL25" s="279"/>
      <c r="AM25" s="279"/>
      <c r="AN25" s="279"/>
      <c r="AP25" s="188" t="s">
        <v>249</v>
      </c>
      <c r="AQ25" s="188" t="s">
        <v>250</v>
      </c>
      <c r="AR25" s="188" t="s">
        <v>251</v>
      </c>
    </row>
    <row r="26" spans="1:46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388"/>
      <c r="AA26" s="388"/>
      <c r="AB26" s="388"/>
      <c r="AC26" s="388"/>
      <c r="AD26" s="388"/>
      <c r="AE26" s="388"/>
      <c r="AF26" s="388"/>
      <c r="AG26" s="388"/>
      <c r="AH26" s="279"/>
      <c r="AI26" s="279"/>
      <c r="AJ26" s="279"/>
      <c r="AK26" s="279"/>
      <c r="AL26" s="279"/>
      <c r="AM26" s="279"/>
      <c r="AN26" s="279"/>
      <c r="AT26" s="188" t="s">
        <v>288</v>
      </c>
    </row>
    <row r="27" spans="1:46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388"/>
      <c r="AA27" s="388"/>
      <c r="AB27" s="388"/>
      <c r="AC27" s="388"/>
      <c r="AD27" s="388"/>
      <c r="AE27" s="388"/>
      <c r="AF27" s="388"/>
      <c r="AG27" s="388"/>
      <c r="AH27" s="279"/>
      <c r="AI27" s="279"/>
      <c r="AJ27" s="279"/>
      <c r="AK27" s="279"/>
      <c r="AL27" s="279"/>
      <c r="AM27" s="279"/>
      <c r="AN27" s="279"/>
    </row>
    <row r="28" spans="1:46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71" t="s">
        <v>142</v>
      </c>
      <c r="W28" s="371"/>
      <c r="X28" s="371"/>
      <c r="Y28" s="371"/>
      <c r="Z28" s="318">
        <f>Z22+Z25+Z26+Z27+Z21</f>
        <v>5736.0000000000009</v>
      </c>
      <c r="AA28" s="318"/>
      <c r="AB28" s="318"/>
      <c r="AC28" s="318"/>
      <c r="AD28" s="318"/>
      <c r="AE28" s="318"/>
      <c r="AF28" s="318"/>
      <c r="AG28" s="318"/>
      <c r="AH28" s="318">
        <f>AH22+AH25+AH26+AH27+AH21</f>
        <v>8205.83</v>
      </c>
      <c r="AI28" s="319"/>
      <c r="AJ28" s="319"/>
      <c r="AK28" s="319"/>
      <c r="AL28" s="319"/>
      <c r="AM28" s="319"/>
      <c r="AN28" s="319"/>
    </row>
    <row r="29" spans="1:46">
      <c r="A29" s="283" t="s">
        <v>31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73"/>
      <c r="W29" s="273"/>
      <c r="X29" s="273"/>
      <c r="Y29" s="273"/>
      <c r="Z29" s="388"/>
      <c r="AA29" s="388"/>
      <c r="AB29" s="388"/>
      <c r="AC29" s="388"/>
      <c r="AD29" s="388"/>
      <c r="AE29" s="388"/>
      <c r="AF29" s="388"/>
      <c r="AG29" s="388"/>
      <c r="AH29" s="279"/>
      <c r="AI29" s="279"/>
      <c r="AJ29" s="279"/>
      <c r="AK29" s="279"/>
      <c r="AL29" s="279"/>
      <c r="AM29" s="279"/>
      <c r="AN29" s="279"/>
    </row>
    <row r="30" spans="1:46">
      <c r="A30" s="280" t="s">
        <v>132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73" t="s">
        <v>143</v>
      </c>
      <c r="W30" s="273"/>
      <c r="X30" s="273"/>
      <c r="Y30" s="273"/>
      <c r="Z30" s="433">
        <v>15820.5</v>
      </c>
      <c r="AA30" s="433"/>
      <c r="AB30" s="433"/>
      <c r="AC30" s="433"/>
      <c r="AD30" s="433"/>
      <c r="AE30" s="433"/>
      <c r="AF30" s="433"/>
      <c r="AG30" s="433"/>
      <c r="AH30" s="367">
        <v>16780.900000000001</v>
      </c>
      <c r="AI30" s="368"/>
      <c r="AJ30" s="368"/>
      <c r="AK30" s="368"/>
      <c r="AL30" s="368"/>
      <c r="AM30" s="368"/>
      <c r="AN30" s="369"/>
      <c r="AP30" s="94">
        <v>20</v>
      </c>
      <c r="AQ30" s="94">
        <v>22</v>
      </c>
      <c r="AR30" s="94">
        <v>23</v>
      </c>
      <c r="AS30" s="36">
        <v>-286</v>
      </c>
      <c r="AT30" s="36"/>
    </row>
    <row r="31" spans="1:46">
      <c r="A31" s="334" t="s">
        <v>210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273" t="s">
        <v>144</v>
      </c>
      <c r="W31" s="273"/>
      <c r="X31" s="273"/>
      <c r="Y31" s="273"/>
      <c r="Z31" s="433"/>
      <c r="AA31" s="433"/>
      <c r="AB31" s="433"/>
      <c r="AC31" s="433"/>
      <c r="AD31" s="433"/>
      <c r="AE31" s="433"/>
      <c r="AF31" s="433"/>
      <c r="AG31" s="433"/>
      <c r="AH31" s="279"/>
      <c r="AI31" s="279"/>
      <c r="AJ31" s="279"/>
      <c r="AK31" s="279"/>
      <c r="AL31" s="279"/>
      <c r="AM31" s="279"/>
      <c r="AN31" s="279"/>
    </row>
    <row r="32" spans="1:46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433"/>
      <c r="AA32" s="433"/>
      <c r="AB32" s="433"/>
      <c r="AC32" s="433"/>
      <c r="AD32" s="433"/>
      <c r="AE32" s="433"/>
      <c r="AF32" s="433"/>
      <c r="AG32" s="433"/>
      <c r="AH32" s="279"/>
      <c r="AI32" s="279"/>
      <c r="AJ32" s="279"/>
      <c r="AK32" s="279"/>
      <c r="AL32" s="279"/>
      <c r="AM32" s="279"/>
      <c r="AN32" s="279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306"/>
      <c r="AA33" s="414"/>
      <c r="AB33" s="414"/>
      <c r="AC33" s="414"/>
      <c r="AD33" s="414"/>
      <c r="AE33" s="414"/>
      <c r="AF33" s="414"/>
      <c r="AG33" s="426"/>
      <c r="AH33" s="367">
        <f t="array" ref="AH33">ROUND(SUM(IF((LEFT('[1]декабрь 2020'!$A$3:$A$150,2)="34")+(LEFT('[1]декабрь 2020'!$A$3:$A$150,2)="36"),'[1]декабрь 2020'!$AV$3:$AV$150))/1000,1)</f>
        <v>0</v>
      </c>
      <c r="AI33" s="368"/>
      <c r="AJ33" s="368"/>
      <c r="AK33" s="368"/>
      <c r="AL33" s="368"/>
      <c r="AM33" s="368"/>
      <c r="AN33" s="369"/>
      <c r="AP33" s="93" t="s">
        <v>252</v>
      </c>
      <c r="AQ33" s="93" t="s">
        <v>253</v>
      </c>
    </row>
    <row r="34" spans="1:48" ht="26.25" customHeight="1">
      <c r="A34" s="280" t="s">
        <v>36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73" t="s">
        <v>147</v>
      </c>
      <c r="W34" s="273"/>
      <c r="X34" s="273"/>
      <c r="Y34" s="273"/>
      <c r="Z34" s="433">
        <v>39.9</v>
      </c>
      <c r="AA34" s="433"/>
      <c r="AB34" s="433"/>
      <c r="AC34" s="433"/>
      <c r="AD34" s="433"/>
      <c r="AE34" s="433"/>
      <c r="AF34" s="433"/>
      <c r="AG34" s="433"/>
      <c r="AH34" s="367">
        <v>0</v>
      </c>
      <c r="AI34" s="368"/>
      <c r="AJ34" s="368"/>
      <c r="AK34" s="368"/>
      <c r="AL34" s="368"/>
      <c r="AM34" s="368"/>
      <c r="AN34" s="369"/>
      <c r="AP34" s="93" t="s">
        <v>254</v>
      </c>
      <c r="AQ34" s="93" t="s">
        <v>255</v>
      </c>
      <c r="AR34" s="93" t="s">
        <v>256</v>
      </c>
      <c r="AS34" s="93" t="s">
        <v>257</v>
      </c>
      <c r="AT34" s="93" t="s">
        <v>258</v>
      </c>
    </row>
    <row r="35" spans="1:48" ht="15" customHeight="1">
      <c r="A35" s="334" t="s">
        <v>164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273" t="s">
        <v>148</v>
      </c>
      <c r="W35" s="273"/>
      <c r="X35" s="273"/>
      <c r="Y35" s="273"/>
      <c r="Z35" s="433"/>
      <c r="AA35" s="433"/>
      <c r="AB35" s="433"/>
      <c r="AC35" s="433"/>
      <c r="AD35" s="433"/>
      <c r="AE35" s="433"/>
      <c r="AF35" s="433"/>
      <c r="AG35" s="433"/>
      <c r="AH35" s="279"/>
      <c r="AI35" s="279"/>
      <c r="AJ35" s="279"/>
      <c r="AK35" s="279"/>
      <c r="AL35" s="279"/>
      <c r="AM35" s="279"/>
      <c r="AN35" s="279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433">
        <v>0</v>
      </c>
      <c r="AA36" s="433"/>
      <c r="AB36" s="433"/>
      <c r="AC36" s="433"/>
      <c r="AD36" s="433"/>
      <c r="AE36" s="433"/>
      <c r="AF36" s="433"/>
      <c r="AG36" s="433"/>
      <c r="AH36" s="367">
        <v>123.3</v>
      </c>
      <c r="AI36" s="368"/>
      <c r="AJ36" s="368"/>
      <c r="AK36" s="368"/>
      <c r="AL36" s="368"/>
      <c r="AM36" s="368"/>
      <c r="AN36" s="369"/>
      <c r="AP36" s="93" t="s">
        <v>259</v>
      </c>
      <c r="AQ36" s="93" t="s">
        <v>260</v>
      </c>
      <c r="AR36" s="93" t="s">
        <v>261</v>
      </c>
      <c r="AS36" s="93" t="s">
        <v>262</v>
      </c>
      <c r="AT36" s="93" t="s">
        <v>263</v>
      </c>
      <c r="AU36" s="93"/>
      <c r="AV36" s="93" t="s">
        <v>285</v>
      </c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433"/>
      <c r="AA37" s="433"/>
      <c r="AB37" s="433"/>
      <c r="AC37" s="433"/>
      <c r="AD37" s="433"/>
      <c r="AE37" s="433"/>
      <c r="AF37" s="433"/>
      <c r="AG37" s="433"/>
      <c r="AH37" s="435">
        <f t="array" ref="AH37">ROUND(SUM(IF(LEFT('[1]декабрь 2020'!$A$3:$A$150,3)="352",'[1]декабрь 2020'!$AV$3:$AV$150))/1000,1)</f>
        <v>0</v>
      </c>
      <c r="AI37" s="436"/>
      <c r="AJ37" s="436"/>
      <c r="AK37" s="436"/>
      <c r="AL37" s="436"/>
      <c r="AM37" s="436"/>
      <c r="AN37" s="437"/>
      <c r="AP37" s="93" t="s">
        <v>284</v>
      </c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433">
        <v>9138.1</v>
      </c>
      <c r="AA38" s="433"/>
      <c r="AB38" s="433"/>
      <c r="AC38" s="433"/>
      <c r="AD38" s="433"/>
      <c r="AE38" s="433"/>
      <c r="AF38" s="433"/>
      <c r="AG38" s="433"/>
      <c r="AH38" s="367">
        <v>7702.3</v>
      </c>
      <c r="AI38" s="368"/>
      <c r="AJ38" s="368"/>
      <c r="AK38" s="368"/>
      <c r="AL38" s="368"/>
      <c r="AM38" s="368"/>
      <c r="AN38" s="369"/>
      <c r="AP38" s="94">
        <v>30</v>
      </c>
      <c r="AQ38" s="94">
        <v>31</v>
      </c>
      <c r="AR38" s="94">
        <v>333</v>
      </c>
      <c r="AS38" s="93" t="s">
        <v>264</v>
      </c>
      <c r="AT38" s="93" t="s">
        <v>265</v>
      </c>
      <c r="AU38" s="93" t="s">
        <v>266</v>
      </c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434"/>
      <c r="AA39" s="434"/>
      <c r="AB39" s="434"/>
      <c r="AC39" s="434"/>
      <c r="AD39" s="434"/>
      <c r="AE39" s="434"/>
      <c r="AF39" s="434"/>
      <c r="AG39" s="434"/>
      <c r="AH39" s="367">
        <f t="array" ref="AH39">ROUND(SUM(IF((LEFT('[1]декабрь 2020'!$A$3:$A$150,2)="39"),'[1]декабрь 2020'!$AV$3:$AV$150))/1000,1)</f>
        <v>0</v>
      </c>
      <c r="AI39" s="368"/>
      <c r="AJ39" s="368"/>
      <c r="AK39" s="368"/>
      <c r="AL39" s="368"/>
      <c r="AM39" s="368"/>
      <c r="AN39" s="369"/>
      <c r="AP39" s="93" t="s">
        <v>269</v>
      </c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434">
        <v>8.4</v>
      </c>
      <c r="AA40" s="434"/>
      <c r="AB40" s="434"/>
      <c r="AC40" s="434"/>
      <c r="AD40" s="434"/>
      <c r="AE40" s="434"/>
      <c r="AF40" s="434"/>
      <c r="AG40" s="434"/>
      <c r="AH40" s="367">
        <v>8.4</v>
      </c>
      <c r="AI40" s="368"/>
      <c r="AJ40" s="368"/>
      <c r="AK40" s="368"/>
      <c r="AL40" s="368"/>
      <c r="AM40" s="368"/>
      <c r="AN40" s="369"/>
      <c r="AP40" s="93" t="s">
        <v>267</v>
      </c>
      <c r="AQ40" s="93" t="s">
        <v>268</v>
      </c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438">
        <v>25006.9</v>
      </c>
      <c r="AA41" s="438"/>
      <c r="AB41" s="438"/>
      <c r="AC41" s="438"/>
      <c r="AD41" s="438"/>
      <c r="AE41" s="438"/>
      <c r="AF41" s="438"/>
      <c r="AG41" s="438"/>
      <c r="AH41" s="318">
        <f>SUM(AH30,AH32:AN34,AH36:AN40)</f>
        <v>24614.9</v>
      </c>
      <c r="AI41" s="318"/>
      <c r="AJ41" s="318"/>
      <c r="AK41" s="318"/>
      <c r="AL41" s="318"/>
      <c r="AM41" s="318"/>
      <c r="AN41" s="318"/>
    </row>
    <row r="42" spans="1:48" ht="24.75" customHeight="1">
      <c r="A42" s="283" t="s">
        <v>301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388"/>
      <c r="AA42" s="388"/>
      <c r="AB42" s="388"/>
      <c r="AC42" s="388"/>
      <c r="AD42" s="388"/>
      <c r="AE42" s="388"/>
      <c r="AF42" s="388"/>
      <c r="AG42" s="388"/>
      <c r="AH42" s="279"/>
      <c r="AI42" s="279"/>
      <c r="AJ42" s="279"/>
      <c r="AK42" s="279"/>
      <c r="AL42" s="279"/>
      <c r="AM42" s="279"/>
      <c r="AN42" s="279"/>
    </row>
    <row r="43" spans="1:48" ht="14.25" customHeight="1">
      <c r="A43" s="251" t="s">
        <v>44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371" t="s">
        <v>156</v>
      </c>
      <c r="W43" s="371"/>
      <c r="X43" s="371"/>
      <c r="Y43" s="371"/>
      <c r="Z43" s="318">
        <f>Z28+Z41+Z42</f>
        <v>30742.9</v>
      </c>
      <c r="AA43" s="318"/>
      <c r="AB43" s="318"/>
      <c r="AC43" s="318"/>
      <c r="AD43" s="318"/>
      <c r="AE43" s="318"/>
      <c r="AF43" s="318"/>
      <c r="AG43" s="318"/>
      <c r="AH43" s="318">
        <f>AH28+AH41+AH42</f>
        <v>32820.730000000003</v>
      </c>
      <c r="AI43" s="319"/>
      <c r="AJ43" s="319"/>
      <c r="AK43" s="319"/>
      <c r="AL43" s="319"/>
      <c r="AM43" s="319"/>
      <c r="AN43" s="319"/>
      <c r="AP43" s="40">
        <f>AH43+AR68</f>
        <v>2125.935430000005</v>
      </c>
    </row>
    <row r="44" spans="1:48" ht="4.5" hidden="1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4"/>
      <c r="W44" s="184"/>
      <c r="X44" s="184"/>
      <c r="Y44" s="184"/>
      <c r="Z44" s="175"/>
      <c r="AA44" s="175"/>
      <c r="AB44" s="175"/>
      <c r="AC44" s="175"/>
      <c r="AD44" s="175"/>
      <c r="AE44" s="175"/>
      <c r="AF44" s="175"/>
      <c r="AG44" s="175"/>
      <c r="AH44" s="176"/>
      <c r="AI44" s="176"/>
      <c r="AJ44" s="176"/>
      <c r="AK44" s="176"/>
      <c r="AL44" s="176"/>
      <c r="AM44" s="176"/>
      <c r="AN44" s="176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81">
        <v>1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>
        <v>2</v>
      </c>
      <c r="W46" s="281"/>
      <c r="X46" s="281"/>
      <c r="Y46" s="281"/>
      <c r="Z46" s="272">
        <v>3</v>
      </c>
      <c r="AA46" s="272"/>
      <c r="AB46" s="272"/>
      <c r="AC46" s="272"/>
      <c r="AD46" s="272"/>
      <c r="AE46" s="272"/>
      <c r="AF46" s="272"/>
      <c r="AG46" s="272"/>
      <c r="AH46" s="272">
        <v>4</v>
      </c>
      <c r="AI46" s="272"/>
      <c r="AJ46" s="272"/>
      <c r="AK46" s="272"/>
      <c r="AL46" s="272"/>
      <c r="AM46" s="272"/>
      <c r="AN46" s="272"/>
    </row>
    <row r="47" spans="1:48" ht="19.5" customHeight="1">
      <c r="A47" s="283" t="s">
        <v>46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433">
        <v>7.5</v>
      </c>
      <c r="AA48" s="433"/>
      <c r="AB48" s="433"/>
      <c r="AC48" s="433"/>
      <c r="AD48" s="433"/>
      <c r="AE48" s="433"/>
      <c r="AF48" s="433"/>
      <c r="AG48" s="433"/>
      <c r="AH48" s="367">
        <f t="array" ref="AH48">-ROUND(SUM(IF(LEFT('[1]декабрь 2020'!$A$3:$A$150,2)="40",'[1]декабрь 2020'!$AW$3:$AW$150))/1000,1)</f>
        <v>7.5</v>
      </c>
      <c r="AI48" s="368"/>
      <c r="AJ48" s="368"/>
      <c r="AK48" s="368"/>
      <c r="AL48" s="368"/>
      <c r="AM48" s="368"/>
      <c r="AN48" s="369"/>
      <c r="AP48" s="94">
        <v>40</v>
      </c>
    </row>
    <row r="49" spans="1:44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388">
        <v>3434.2</v>
      </c>
      <c r="AA49" s="388"/>
      <c r="AB49" s="388"/>
      <c r="AC49" s="388"/>
      <c r="AD49" s="388"/>
      <c r="AE49" s="388"/>
      <c r="AF49" s="388"/>
      <c r="AG49" s="388"/>
      <c r="AH49" s="435">
        <v>3851.5</v>
      </c>
      <c r="AI49" s="436"/>
      <c r="AJ49" s="436"/>
      <c r="AK49" s="436"/>
      <c r="AL49" s="436"/>
      <c r="AM49" s="436"/>
      <c r="AN49" s="437"/>
      <c r="AP49" s="188" t="s">
        <v>270</v>
      </c>
      <c r="AQ49" s="188" t="s">
        <v>271</v>
      </c>
    </row>
    <row r="50" spans="1:44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388"/>
      <c r="AA50" s="388"/>
      <c r="AB50" s="388"/>
      <c r="AC50" s="388"/>
      <c r="AD50" s="388"/>
      <c r="AE50" s="388"/>
      <c r="AF50" s="388"/>
      <c r="AG50" s="388"/>
      <c r="AH50" s="435">
        <f t="array" ref="AH50">-ROUND(SUM(IF(LEFT('[1]декабрь 2020'!$A$3:$A$150,2)="43",'[1]декабрь 2020'!$AW$3:$AW$150))/1000,1)</f>
        <v>0</v>
      </c>
      <c r="AI50" s="436"/>
      <c r="AJ50" s="436"/>
      <c r="AK50" s="436"/>
      <c r="AL50" s="436"/>
      <c r="AM50" s="436"/>
      <c r="AN50" s="437"/>
      <c r="AP50" s="188" t="s">
        <v>272</v>
      </c>
    </row>
    <row r="51" spans="1:44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433">
        <v>9797.2999999999993</v>
      </c>
      <c r="AA51" s="433"/>
      <c r="AB51" s="433"/>
      <c r="AC51" s="433"/>
      <c r="AD51" s="433"/>
      <c r="AE51" s="433"/>
      <c r="AF51" s="433"/>
      <c r="AG51" s="433"/>
      <c r="AH51" s="367">
        <v>10136.200000000001</v>
      </c>
      <c r="AI51" s="368"/>
      <c r="AJ51" s="368"/>
      <c r="AK51" s="368"/>
      <c r="AL51" s="368"/>
      <c r="AM51" s="368"/>
      <c r="AN51" s="369"/>
      <c r="AP51" s="36">
        <v>441</v>
      </c>
      <c r="AQ51" s="36"/>
    </row>
    <row r="52" spans="1:44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305" t="s">
        <v>117</v>
      </c>
      <c r="AA52" s="305"/>
      <c r="AB52" s="305"/>
      <c r="AC52" s="305"/>
      <c r="AD52" s="305"/>
      <c r="AE52" s="305"/>
      <c r="AF52" s="305"/>
      <c r="AG52" s="305"/>
      <c r="AH52" s="439" t="s">
        <v>118</v>
      </c>
      <c r="AI52" s="439"/>
      <c r="AJ52" s="439"/>
      <c r="AK52" s="439"/>
      <c r="AL52" s="439"/>
      <c r="AM52" s="439"/>
      <c r="AN52" s="439"/>
    </row>
    <row r="53" spans="1:44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18">
        <f>SUM(Z48:AG52)</f>
        <v>13239</v>
      </c>
      <c r="AA53" s="318"/>
      <c r="AB53" s="318"/>
      <c r="AC53" s="318"/>
      <c r="AD53" s="318"/>
      <c r="AE53" s="318"/>
      <c r="AF53" s="318"/>
      <c r="AG53" s="318"/>
      <c r="AH53" s="440">
        <f>SUM(AH48:AN52)</f>
        <v>13995.2</v>
      </c>
      <c r="AI53" s="440"/>
      <c r="AJ53" s="440"/>
      <c r="AK53" s="440"/>
      <c r="AL53" s="440"/>
      <c r="AM53" s="440"/>
      <c r="AN53" s="440"/>
    </row>
    <row r="54" spans="1:44">
      <c r="A54" s="371" t="s">
        <v>158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283" t="s">
        <v>177</v>
      </c>
      <c r="W54" s="283"/>
      <c r="X54" s="283"/>
      <c r="Y54" s="283"/>
      <c r="Z54" s="438">
        <v>15400.9</v>
      </c>
      <c r="AA54" s="438"/>
      <c r="AB54" s="438"/>
      <c r="AC54" s="438"/>
      <c r="AD54" s="438"/>
      <c r="AE54" s="438"/>
      <c r="AF54" s="438"/>
      <c r="AG54" s="438"/>
      <c r="AH54" s="364">
        <v>16707.2</v>
      </c>
      <c r="AI54" s="365"/>
      <c r="AJ54" s="365"/>
      <c r="AK54" s="365"/>
      <c r="AL54" s="365"/>
      <c r="AM54" s="365"/>
      <c r="AN54" s="366"/>
      <c r="AP54" s="36">
        <v>47</v>
      </c>
      <c r="AQ54" s="188" t="s">
        <v>273</v>
      </c>
      <c r="AR54" s="188" t="s">
        <v>274</v>
      </c>
    </row>
    <row r="55" spans="1:44">
      <c r="A55" s="283" t="s">
        <v>159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388"/>
      <c r="AA55" s="388"/>
      <c r="AB55" s="388"/>
      <c r="AC55" s="388"/>
      <c r="AD55" s="388"/>
      <c r="AE55" s="388"/>
      <c r="AF55" s="388"/>
      <c r="AG55" s="388"/>
      <c r="AH55" s="279"/>
      <c r="AI55" s="279"/>
      <c r="AJ55" s="279"/>
      <c r="AK55" s="279"/>
      <c r="AL55" s="279"/>
      <c r="AM55" s="279"/>
      <c r="AN55" s="279"/>
    </row>
    <row r="56" spans="1:44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1" t="s">
        <v>178</v>
      </c>
      <c r="W56" s="281"/>
      <c r="X56" s="281"/>
      <c r="Y56" s="281"/>
      <c r="Z56" s="388"/>
      <c r="AA56" s="388"/>
      <c r="AB56" s="388"/>
      <c r="AC56" s="388"/>
      <c r="AD56" s="388"/>
      <c r="AE56" s="388"/>
      <c r="AF56" s="388"/>
      <c r="AG56" s="388"/>
      <c r="AH56" s="279"/>
      <c r="AI56" s="279"/>
      <c r="AJ56" s="279"/>
      <c r="AK56" s="279"/>
      <c r="AL56" s="279"/>
      <c r="AM56" s="279"/>
      <c r="AN56" s="279"/>
    </row>
    <row r="57" spans="1:44">
      <c r="A57" s="280" t="s">
        <v>160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441"/>
      <c r="W57" s="441"/>
      <c r="X57" s="441"/>
      <c r="Y57" s="441"/>
      <c r="Z57" s="388"/>
      <c r="AA57" s="388"/>
      <c r="AB57" s="388"/>
      <c r="AC57" s="388"/>
      <c r="AD57" s="388"/>
      <c r="AE57" s="388"/>
      <c r="AF57" s="388"/>
      <c r="AG57" s="388"/>
      <c r="AH57" s="279"/>
      <c r="AI57" s="279"/>
      <c r="AJ57" s="279"/>
      <c r="AK57" s="279"/>
      <c r="AL57" s="279"/>
      <c r="AM57" s="279"/>
      <c r="AN57" s="279"/>
    </row>
    <row r="58" spans="1:44">
      <c r="A58" s="334" t="s">
        <v>161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281" t="s">
        <v>179</v>
      </c>
      <c r="W58" s="281"/>
      <c r="X58" s="281"/>
      <c r="Y58" s="281"/>
      <c r="Z58" s="388"/>
      <c r="AA58" s="388"/>
      <c r="AB58" s="388"/>
      <c r="AC58" s="388"/>
      <c r="AD58" s="388"/>
      <c r="AE58" s="388"/>
      <c r="AF58" s="388"/>
      <c r="AG58" s="388"/>
      <c r="AH58" s="279"/>
      <c r="AI58" s="279"/>
      <c r="AJ58" s="279"/>
      <c r="AK58" s="279"/>
      <c r="AL58" s="279"/>
      <c r="AM58" s="279"/>
      <c r="AN58" s="279"/>
    </row>
    <row r="59" spans="1:44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81" t="s">
        <v>180</v>
      </c>
      <c r="W59" s="281"/>
      <c r="X59" s="281"/>
      <c r="Y59" s="281"/>
      <c r="Z59" s="388"/>
      <c r="AA59" s="388"/>
      <c r="AB59" s="388"/>
      <c r="AC59" s="388"/>
      <c r="AD59" s="388"/>
      <c r="AE59" s="388"/>
      <c r="AF59" s="388"/>
      <c r="AG59" s="388"/>
      <c r="AH59" s="367">
        <f t="array" ref="AH59">-ROUND(SUM(IF(LEFT('[1]декабрь 2020'!$A$3:$A$150,2)="63",'[1]декабрь 2020'!$AW$3:$AW$150))/1000,1)-ROUND(SUM(IF(LEFT('[1]декабрь 2020'!$A$3:$A$150,3)="62",'[1]декабрь 2020'!$AW$3:$AW$150))/1000,1)</f>
        <v>0</v>
      </c>
      <c r="AI59" s="368"/>
      <c r="AJ59" s="368"/>
      <c r="AK59" s="368"/>
      <c r="AL59" s="368"/>
      <c r="AM59" s="368"/>
      <c r="AN59" s="369"/>
      <c r="AP59" s="188" t="s">
        <v>275</v>
      </c>
      <c r="AQ59" s="188" t="s">
        <v>276</v>
      </c>
    </row>
    <row r="60" spans="1:44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81" t="s">
        <v>181</v>
      </c>
      <c r="W60" s="281"/>
      <c r="X60" s="281"/>
      <c r="Y60" s="281"/>
      <c r="Z60" s="388">
        <v>7.8</v>
      </c>
      <c r="AA60" s="388"/>
      <c r="AB60" s="388"/>
      <c r="AC60" s="388"/>
      <c r="AD60" s="388"/>
      <c r="AE60" s="388"/>
      <c r="AF60" s="388"/>
      <c r="AG60" s="388"/>
      <c r="AH60" s="367">
        <v>14.6</v>
      </c>
      <c r="AI60" s="368"/>
      <c r="AJ60" s="368"/>
      <c r="AK60" s="368"/>
      <c r="AL60" s="368"/>
      <c r="AM60" s="368"/>
      <c r="AN60" s="369"/>
      <c r="AP60" s="36">
        <v>641</v>
      </c>
      <c r="AQ60" s="36">
        <v>642</v>
      </c>
    </row>
    <row r="61" spans="1:44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81" t="s">
        <v>182</v>
      </c>
      <c r="W61" s="281"/>
      <c r="X61" s="281"/>
      <c r="Y61" s="281"/>
      <c r="Z61" s="388"/>
      <c r="AA61" s="388"/>
      <c r="AB61" s="388"/>
      <c r="AC61" s="388"/>
      <c r="AD61" s="388"/>
      <c r="AE61" s="388"/>
      <c r="AF61" s="388"/>
      <c r="AG61" s="388"/>
      <c r="AH61" s="279"/>
      <c r="AI61" s="279"/>
      <c r="AJ61" s="279"/>
      <c r="AK61" s="279"/>
      <c r="AL61" s="279"/>
      <c r="AM61" s="279"/>
      <c r="AN61" s="279"/>
    </row>
    <row r="62" spans="1:44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81" t="s">
        <v>183</v>
      </c>
      <c r="W62" s="281"/>
      <c r="X62" s="281"/>
      <c r="Y62" s="281"/>
      <c r="Z62" s="388"/>
      <c r="AA62" s="388"/>
      <c r="AB62" s="388"/>
      <c r="AC62" s="388"/>
      <c r="AD62" s="388"/>
      <c r="AE62" s="388"/>
      <c r="AF62" s="388"/>
      <c r="AG62" s="388"/>
      <c r="AH62" s="279"/>
      <c r="AI62" s="279"/>
      <c r="AJ62" s="279"/>
      <c r="AK62" s="279"/>
      <c r="AL62" s="279"/>
      <c r="AM62" s="279"/>
      <c r="AN62" s="279"/>
    </row>
    <row r="63" spans="1:44">
      <c r="A63" s="334" t="s">
        <v>166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281" t="s">
        <v>184</v>
      </c>
      <c r="W63" s="281"/>
      <c r="X63" s="281"/>
      <c r="Y63" s="281"/>
      <c r="Z63" s="388">
        <v>32.200000000000003</v>
      </c>
      <c r="AA63" s="388"/>
      <c r="AB63" s="388"/>
      <c r="AC63" s="388"/>
      <c r="AD63" s="388"/>
      <c r="AE63" s="388"/>
      <c r="AF63" s="388"/>
      <c r="AG63" s="388"/>
      <c r="AH63" s="367">
        <v>99.3</v>
      </c>
      <c r="AI63" s="368"/>
      <c r="AJ63" s="368"/>
      <c r="AK63" s="368"/>
      <c r="AL63" s="368"/>
      <c r="AM63" s="368"/>
      <c r="AN63" s="369"/>
      <c r="AP63" s="36">
        <v>661</v>
      </c>
    </row>
    <row r="64" spans="1:44">
      <c r="A64" s="280" t="s">
        <v>167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1" t="s">
        <v>185</v>
      </c>
      <c r="W64" s="281"/>
      <c r="X64" s="281"/>
      <c r="Y64" s="281"/>
      <c r="Z64" s="388">
        <v>2063</v>
      </c>
      <c r="AA64" s="388"/>
      <c r="AB64" s="388"/>
      <c r="AC64" s="388"/>
      <c r="AD64" s="388"/>
      <c r="AE64" s="388"/>
      <c r="AF64" s="388"/>
      <c r="AG64" s="388"/>
      <c r="AH64" s="367">
        <v>2004.4</v>
      </c>
      <c r="AI64" s="368"/>
      <c r="AJ64" s="368"/>
      <c r="AK64" s="368"/>
      <c r="AL64" s="368"/>
      <c r="AM64" s="368"/>
      <c r="AN64" s="369"/>
    </row>
    <row r="65" spans="1:46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1" t="s">
        <v>186</v>
      </c>
      <c r="W65" s="281"/>
      <c r="X65" s="281"/>
      <c r="Y65" s="281"/>
      <c r="Z65" s="388">
        <v>0</v>
      </c>
      <c r="AA65" s="388"/>
      <c r="AB65" s="388"/>
      <c r="AC65" s="388"/>
      <c r="AD65" s="388"/>
      <c r="AE65" s="388"/>
      <c r="AF65" s="388"/>
      <c r="AG65" s="388"/>
      <c r="AH65" s="367">
        <f t="array" ref="AH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I65" s="368"/>
      <c r="AJ65" s="368"/>
      <c r="AK65" s="368"/>
      <c r="AL65" s="368"/>
      <c r="AM65" s="368"/>
      <c r="AN65" s="369"/>
      <c r="AP65" s="36">
        <v>372</v>
      </c>
      <c r="AQ65" s="188" t="s">
        <v>254</v>
      </c>
      <c r="AR65" s="188" t="s">
        <v>277</v>
      </c>
      <c r="AS65" s="188" t="s">
        <v>278</v>
      </c>
      <c r="AT65" s="188" t="s">
        <v>279</v>
      </c>
    </row>
    <row r="66" spans="1:46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1" t="s">
        <v>187</v>
      </c>
      <c r="W66" s="281"/>
      <c r="X66" s="281"/>
      <c r="Y66" s="281"/>
      <c r="Z66" s="318">
        <f>SUM(Z56:AG60,Z62:AG65)</f>
        <v>2103</v>
      </c>
      <c r="AA66" s="318"/>
      <c r="AB66" s="318"/>
      <c r="AC66" s="318"/>
      <c r="AD66" s="318"/>
      <c r="AE66" s="318"/>
      <c r="AF66" s="318"/>
      <c r="AG66" s="318"/>
      <c r="AH66" s="440">
        <f>SUM(AH56:AN60,AH62:AN65)</f>
        <v>2118.3000000000002</v>
      </c>
      <c r="AI66" s="440"/>
      <c r="AJ66" s="440"/>
      <c r="AK66" s="440"/>
      <c r="AL66" s="440"/>
      <c r="AM66" s="440"/>
      <c r="AN66" s="440"/>
    </row>
    <row r="67" spans="1:46" ht="39.75" customHeight="1">
      <c r="A67" s="371" t="s">
        <v>169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283" t="s">
        <v>188</v>
      </c>
      <c r="W67" s="283"/>
      <c r="X67" s="283"/>
      <c r="Y67" s="283"/>
      <c r="Z67" s="388">
        <v>0</v>
      </c>
      <c r="AA67" s="388"/>
      <c r="AB67" s="388"/>
      <c r="AC67" s="388"/>
      <c r="AD67" s="388"/>
      <c r="AE67" s="388"/>
      <c r="AF67" s="388"/>
      <c r="AG67" s="388"/>
      <c r="AH67" s="367">
        <v>0</v>
      </c>
      <c r="AI67" s="368"/>
      <c r="AJ67" s="368"/>
      <c r="AK67" s="368"/>
      <c r="AL67" s="368"/>
      <c r="AM67" s="368"/>
      <c r="AN67" s="369"/>
      <c r="AP67" s="188" t="s">
        <v>280</v>
      </c>
    </row>
    <row r="68" spans="1:46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30742.9</v>
      </c>
      <c r="AA68" s="318"/>
      <c r="AB68" s="318"/>
      <c r="AC68" s="318"/>
      <c r="AD68" s="318"/>
      <c r="AE68" s="318"/>
      <c r="AF68" s="318"/>
      <c r="AG68" s="318"/>
      <c r="AH68" s="318">
        <f>SUM(AH66:AN67,AH53,AH54:AM54)</f>
        <v>32820.699999999997</v>
      </c>
      <c r="AI68" s="319"/>
      <c r="AJ68" s="319"/>
      <c r="AK68" s="319"/>
      <c r="AL68" s="319"/>
      <c r="AM68" s="319"/>
      <c r="AN68" s="319"/>
      <c r="AP68" s="40">
        <f>AH68-AH43</f>
        <v>-3.0000000006111804E-2</v>
      </c>
      <c r="AR68" s="100">
        <f>'[1]декабрь 2020'!$AW$153/1000</f>
        <v>-30694.794569999998</v>
      </c>
      <c r="AS68" s="40">
        <f>AH68+AR68</f>
        <v>2125.9054299999989</v>
      </c>
    </row>
    <row r="69" spans="1:46" ht="15.75">
      <c r="A69" s="182"/>
      <c r="B69" s="182"/>
      <c r="C69" s="182"/>
      <c r="D69" s="182"/>
      <c r="F69" s="182"/>
      <c r="G69" s="182"/>
      <c r="H69" s="182"/>
      <c r="I69" s="182"/>
      <c r="J69" s="182"/>
      <c r="K69" s="182"/>
      <c r="L69" s="5"/>
      <c r="V69" s="182"/>
    </row>
    <row r="70" spans="1:46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6">
      <c r="A71" s="313" t="s">
        <v>304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6">
      <c r="A72" s="27"/>
      <c r="B72" s="27"/>
      <c r="C72" s="27"/>
      <c r="D72" s="27"/>
      <c r="E72" s="28"/>
      <c r="F72" s="27"/>
      <c r="G72" s="29"/>
      <c r="H72" s="187"/>
      <c r="I72" s="187"/>
      <c r="J72" s="187"/>
      <c r="K72" s="187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6" ht="15.7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6" ht="15.7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</row>
    <row r="75" spans="1:46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6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6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421" t="s">
        <v>194</v>
      </c>
      <c r="W77" s="421"/>
      <c r="X77" s="421"/>
      <c r="Y77" s="421"/>
      <c r="Z77" s="272">
        <v>11064.4</v>
      </c>
      <c r="AA77" s="272"/>
      <c r="AB77" s="272"/>
      <c r="AC77" s="272"/>
      <c r="AD77" s="272"/>
      <c r="AE77" s="272"/>
      <c r="AF77" s="272"/>
      <c r="AG77" s="272"/>
      <c r="AH77" s="311">
        <v>11541.8</v>
      </c>
      <c r="AI77" s="307"/>
      <c r="AJ77" s="307"/>
      <c r="AK77" s="307"/>
      <c r="AL77" s="307"/>
      <c r="AM77" s="307"/>
      <c r="AN77" s="308"/>
      <c r="AO77" s="65"/>
    </row>
    <row r="78" spans="1:46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421" t="s">
        <v>195</v>
      </c>
      <c r="W78" s="421"/>
      <c r="X78" s="421"/>
      <c r="Y78" s="421"/>
      <c r="Z78" s="306">
        <v>3019.6</v>
      </c>
      <c r="AA78" s="414"/>
      <c r="AB78" s="414"/>
      <c r="AC78" s="414"/>
      <c r="AD78" s="414"/>
      <c r="AE78" s="414"/>
      <c r="AF78" s="414"/>
      <c r="AG78" s="426"/>
      <c r="AH78" s="311">
        <v>0</v>
      </c>
      <c r="AI78" s="307"/>
      <c r="AJ78" s="307"/>
      <c r="AK78" s="307"/>
      <c r="AL78" s="307"/>
      <c r="AM78" s="307"/>
      <c r="AN78" s="308"/>
      <c r="AO78" s="65"/>
    </row>
    <row r="79" spans="1:46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421" t="s">
        <v>196</v>
      </c>
      <c r="W79" s="421"/>
      <c r="X79" s="421"/>
      <c r="Y79" s="421"/>
      <c r="Z79" s="422">
        <v>214.5</v>
      </c>
      <c r="AA79" s="423"/>
      <c r="AB79" s="423"/>
      <c r="AC79" s="423"/>
      <c r="AD79" s="423"/>
      <c r="AE79" s="423"/>
      <c r="AF79" s="423"/>
      <c r="AG79" s="424"/>
      <c r="AH79" s="311">
        <v>2019.6</v>
      </c>
      <c r="AI79" s="307"/>
      <c r="AJ79" s="307"/>
      <c r="AK79" s="307"/>
      <c r="AL79" s="307"/>
      <c r="AM79" s="307"/>
      <c r="AN79" s="308"/>
      <c r="AO79" s="65"/>
    </row>
    <row r="80" spans="1:46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425" t="s">
        <v>197</v>
      </c>
      <c r="W80" s="425"/>
      <c r="X80" s="425"/>
      <c r="Y80" s="425"/>
      <c r="Z80" s="312">
        <f>SUM(Z77:AG79)</f>
        <v>14298.5</v>
      </c>
      <c r="AA80" s="312"/>
      <c r="AB80" s="312"/>
      <c r="AC80" s="312"/>
      <c r="AD80" s="312"/>
      <c r="AE80" s="312"/>
      <c r="AF80" s="312"/>
      <c r="AG80" s="312"/>
      <c r="AH80" s="299">
        <f>AH77+AH78+AH79</f>
        <v>13561.4</v>
      </c>
      <c r="AI80" s="309"/>
      <c r="AJ80" s="309"/>
      <c r="AK80" s="309"/>
      <c r="AL80" s="309"/>
      <c r="AM80" s="309"/>
      <c r="AN80" s="310"/>
      <c r="AO80" s="66"/>
    </row>
    <row r="81" spans="1:4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421" t="s">
        <v>198</v>
      </c>
      <c r="W81" s="421"/>
      <c r="X81" s="421"/>
      <c r="Y81" s="421"/>
      <c r="Z81" s="185" t="s">
        <v>117</v>
      </c>
      <c r="AA81" s="254">
        <v>12866.1</v>
      </c>
      <c r="AB81" s="254"/>
      <c r="AC81" s="254"/>
      <c r="AD81" s="254"/>
      <c r="AE81" s="254"/>
      <c r="AF81" s="254"/>
      <c r="AG81" s="186" t="s">
        <v>218</v>
      </c>
      <c r="AH81" s="257" t="s">
        <v>298</v>
      </c>
      <c r="AI81" s="258"/>
      <c r="AJ81" s="258"/>
      <c r="AK81" s="258"/>
      <c r="AL81" s="258"/>
      <c r="AM81" s="258"/>
      <c r="AN81" s="259"/>
    </row>
    <row r="82" spans="1:4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421" t="s">
        <v>199</v>
      </c>
      <c r="W82" s="421"/>
      <c r="X82" s="421"/>
      <c r="Y82" s="421"/>
      <c r="Z82" s="185" t="s">
        <v>117</v>
      </c>
      <c r="AA82" s="414">
        <f>1049.8+43.7</f>
        <v>1093.5</v>
      </c>
      <c r="AB82" s="414"/>
      <c r="AC82" s="414"/>
      <c r="AD82" s="414"/>
      <c r="AE82" s="414"/>
      <c r="AF82" s="414"/>
      <c r="AG82" s="186" t="s">
        <v>218</v>
      </c>
      <c r="AH82" s="257" t="s">
        <v>297</v>
      </c>
      <c r="AI82" s="258"/>
      <c r="AJ82" s="258"/>
      <c r="AK82" s="258"/>
      <c r="AL82" s="258"/>
      <c r="AM82" s="258"/>
      <c r="AN82" s="259"/>
    </row>
    <row r="83" spans="1:4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185" t="s">
        <v>117</v>
      </c>
      <c r="AA83" s="430"/>
      <c r="AB83" s="430"/>
      <c r="AC83" s="430"/>
      <c r="AD83" s="430"/>
      <c r="AE83" s="430"/>
      <c r="AF83" s="430"/>
      <c r="AG83" s="186" t="s">
        <v>218</v>
      </c>
      <c r="AH83" s="257" t="s">
        <v>296</v>
      </c>
      <c r="AI83" s="258"/>
      <c r="AJ83" s="258"/>
      <c r="AK83" s="258"/>
      <c r="AL83" s="258"/>
      <c r="AM83" s="258"/>
      <c r="AN83" s="259"/>
    </row>
    <row r="84" spans="1:4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185" t="s">
        <v>117</v>
      </c>
      <c r="AA84" s="309">
        <f>SUM(AA81:AF83)</f>
        <v>13959.6</v>
      </c>
      <c r="AB84" s="309"/>
      <c r="AC84" s="309"/>
      <c r="AD84" s="309"/>
      <c r="AE84" s="309"/>
      <c r="AF84" s="309"/>
      <c r="AG84" s="186" t="s">
        <v>218</v>
      </c>
      <c r="AH84" s="447" t="s">
        <v>299</v>
      </c>
      <c r="AI84" s="448"/>
      <c r="AJ84" s="448"/>
      <c r="AK84" s="448"/>
      <c r="AL84" s="448"/>
      <c r="AM84" s="448"/>
      <c r="AN84" s="449"/>
    </row>
    <row r="85" spans="1:4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338.89999999999964</v>
      </c>
      <c r="AA85" s="272"/>
      <c r="AB85" s="272"/>
      <c r="AC85" s="272"/>
      <c r="AD85" s="272"/>
      <c r="AE85" s="272"/>
      <c r="AF85" s="272"/>
      <c r="AG85" s="272"/>
      <c r="AH85" s="306">
        <v>253.7</v>
      </c>
      <c r="AI85" s="414"/>
      <c r="AJ85" s="414"/>
      <c r="AK85" s="414"/>
      <c r="AL85" s="414"/>
      <c r="AM85" s="414"/>
      <c r="AN85" s="426"/>
      <c r="AO85" s="65"/>
    </row>
    <row r="86" spans="1:4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185" t="s">
        <v>117</v>
      </c>
      <c r="AA86" s="254"/>
      <c r="AB86" s="254"/>
      <c r="AC86" s="254"/>
      <c r="AD86" s="254"/>
      <c r="AE86" s="254"/>
      <c r="AF86" s="254"/>
      <c r="AG86" s="186" t="s">
        <v>218</v>
      </c>
      <c r="AH86" s="418" t="s">
        <v>300</v>
      </c>
      <c r="AI86" s="419"/>
      <c r="AJ86" s="419"/>
      <c r="AK86" s="419"/>
      <c r="AL86" s="419"/>
      <c r="AM86" s="419"/>
      <c r="AN86" s="420"/>
      <c r="AO86" s="65"/>
    </row>
    <row r="87" spans="1:4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338.89999999999964</v>
      </c>
      <c r="AA87" s="300"/>
      <c r="AB87" s="300"/>
      <c r="AC87" s="300"/>
      <c r="AD87" s="300"/>
      <c r="AE87" s="300"/>
      <c r="AF87" s="300"/>
      <c r="AG87" s="301"/>
      <c r="AH87" s="299">
        <f>AH85</f>
        <v>253.7</v>
      </c>
      <c r="AI87" s="309"/>
      <c r="AJ87" s="309"/>
      <c r="AK87" s="309"/>
      <c r="AL87" s="309"/>
      <c r="AM87" s="309"/>
      <c r="AN87" s="310"/>
      <c r="AO87" s="65"/>
    </row>
    <row r="89" spans="1:41">
      <c r="B89" s="247" t="s">
        <v>91</v>
      </c>
      <c r="C89" s="247"/>
      <c r="D89" s="247"/>
      <c r="E89" s="247"/>
      <c r="F89" s="247"/>
      <c r="G89" s="247"/>
      <c r="H89" s="247"/>
      <c r="I89" s="247"/>
      <c r="Q89" s="188"/>
      <c r="R89" s="188"/>
      <c r="S89" s="188"/>
      <c r="T89" s="188"/>
      <c r="U89" s="246"/>
      <c r="V89" s="246"/>
      <c r="W89" s="246"/>
      <c r="X89" s="246"/>
      <c r="AH89" s="445" t="s">
        <v>227</v>
      </c>
      <c r="AI89" s="445"/>
      <c r="AJ89" s="445"/>
      <c r="AK89" s="445"/>
      <c r="AL89" s="445"/>
      <c r="AM89" s="445"/>
    </row>
    <row r="90" spans="1:41">
      <c r="Q90" s="188"/>
      <c r="R90" s="188"/>
      <c r="S90" s="188"/>
      <c r="T90" s="188"/>
      <c r="U90" s="294" t="s">
        <v>94</v>
      </c>
      <c r="V90" s="294"/>
      <c r="W90" s="294"/>
      <c r="X90" s="294"/>
      <c r="AH90" s="446" t="s">
        <v>93</v>
      </c>
      <c r="AI90" s="446"/>
      <c r="AJ90" s="446"/>
      <c r="AK90" s="446"/>
      <c r="AL90" s="446"/>
      <c r="AM90" s="446"/>
    </row>
    <row r="91" spans="1:41">
      <c r="Q91" s="188"/>
      <c r="R91" s="188"/>
      <c r="S91" s="188"/>
      <c r="T91" s="188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188"/>
      <c r="R92" s="188"/>
      <c r="S92" s="188"/>
      <c r="T92" s="188"/>
      <c r="U92" s="246"/>
      <c r="V92" s="246"/>
      <c r="W92" s="246"/>
      <c r="X92" s="246"/>
      <c r="AH92" s="445" t="s">
        <v>228</v>
      </c>
      <c r="AI92" s="445"/>
      <c r="AJ92" s="445"/>
      <c r="AK92" s="445"/>
      <c r="AL92" s="445"/>
      <c r="AM92" s="445"/>
    </row>
    <row r="93" spans="1:41">
      <c r="Q93" s="188"/>
      <c r="R93" s="188"/>
      <c r="S93" s="188"/>
      <c r="T93" s="188"/>
      <c r="U93" s="294" t="s">
        <v>94</v>
      </c>
      <c r="V93" s="294"/>
      <c r="W93" s="294"/>
      <c r="X93" s="294"/>
      <c r="AH93" s="446" t="s">
        <v>93</v>
      </c>
      <c r="AI93" s="446"/>
      <c r="AJ93" s="446"/>
      <c r="AK93" s="446"/>
      <c r="AL93" s="446"/>
      <c r="AM93" s="446"/>
    </row>
  </sheetData>
  <mergeCells count="299">
    <mergeCell ref="AH63:AN63"/>
    <mergeCell ref="AH64:AN64"/>
    <mergeCell ref="AH38:AN38"/>
    <mergeCell ref="AH39:AN39"/>
    <mergeCell ref="AH40:AN40"/>
    <mergeCell ref="AH48:AN48"/>
    <mergeCell ref="AH49:AN49"/>
    <mergeCell ref="AH50:AN50"/>
    <mergeCell ref="AH21:AN21"/>
    <mergeCell ref="AH30:AN30"/>
    <mergeCell ref="AH33:AN33"/>
    <mergeCell ref="AH34:AN34"/>
    <mergeCell ref="AH36:AN36"/>
    <mergeCell ref="AH61:AN61"/>
    <mergeCell ref="AH62:AN62"/>
    <mergeCell ref="AH41:AN41"/>
    <mergeCell ref="AH22:AN22"/>
    <mergeCell ref="AH93:AM93"/>
    <mergeCell ref="AH77:AN77"/>
    <mergeCell ref="AH78:AN78"/>
    <mergeCell ref="AH79:AN79"/>
    <mergeCell ref="AH80:AN80"/>
    <mergeCell ref="AH81:AN81"/>
    <mergeCell ref="AH82:AN82"/>
    <mergeCell ref="AH83:AN83"/>
    <mergeCell ref="AH84:AN84"/>
    <mergeCell ref="B92:I92"/>
    <mergeCell ref="U92:X92"/>
    <mergeCell ref="U93:X93"/>
    <mergeCell ref="AH24:AN24"/>
    <mergeCell ref="Z24:AG24"/>
    <mergeCell ref="AH89:AM89"/>
    <mergeCell ref="AH92:AM92"/>
    <mergeCell ref="AH90:AM90"/>
    <mergeCell ref="B89:I89"/>
    <mergeCell ref="U89:X89"/>
    <mergeCell ref="U90:X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85:U85"/>
    <mergeCell ref="V85:Y85"/>
    <mergeCell ref="Z85:AG85"/>
    <mergeCell ref="AH85:AN85"/>
    <mergeCell ref="A82:U82"/>
    <mergeCell ref="V82:Y82"/>
    <mergeCell ref="AA82:AF82"/>
    <mergeCell ref="A83:U83"/>
    <mergeCell ref="V83:Y83"/>
    <mergeCell ref="AA83:AF83"/>
    <mergeCell ref="A80:U80"/>
    <mergeCell ref="V80:Y80"/>
    <mergeCell ref="Z80:AG80"/>
    <mergeCell ref="A81:U81"/>
    <mergeCell ref="V81:Y81"/>
    <mergeCell ref="AA81:AF81"/>
    <mergeCell ref="A78:U78"/>
    <mergeCell ref="V78:Y78"/>
    <mergeCell ref="Z78:AG78"/>
    <mergeCell ref="A79:U79"/>
    <mergeCell ref="V79:Y79"/>
    <mergeCell ref="Z79:AG79"/>
    <mergeCell ref="A76:U76"/>
    <mergeCell ref="V76:Y76"/>
    <mergeCell ref="Z76:AG76"/>
    <mergeCell ref="AH76:AN76"/>
    <mergeCell ref="A77:U77"/>
    <mergeCell ref="V77:Y77"/>
    <mergeCell ref="Z77:AG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Z67:AG67"/>
    <mergeCell ref="A68:U68"/>
    <mergeCell ref="V68:Y68"/>
    <mergeCell ref="Z68:AG68"/>
    <mergeCell ref="AH68:AN68"/>
    <mergeCell ref="A65:U65"/>
    <mergeCell ref="V65:Y65"/>
    <mergeCell ref="Z65:AG65"/>
    <mergeCell ref="A66:U66"/>
    <mergeCell ref="V66:Y66"/>
    <mergeCell ref="Z66:AG66"/>
    <mergeCell ref="AH65:AN65"/>
    <mergeCell ref="AH67:AN67"/>
    <mergeCell ref="AH66:AN66"/>
    <mergeCell ref="A67:U67"/>
    <mergeCell ref="V67:Y67"/>
    <mergeCell ref="A63:U63"/>
    <mergeCell ref="V63:Y63"/>
    <mergeCell ref="Z63:AG63"/>
    <mergeCell ref="A64:U64"/>
    <mergeCell ref="V64:Y64"/>
    <mergeCell ref="Z64:AG64"/>
    <mergeCell ref="A61:U61"/>
    <mergeCell ref="V61:Y61"/>
    <mergeCell ref="Z61:AG61"/>
    <mergeCell ref="A62:U62"/>
    <mergeCell ref="V62:Y62"/>
    <mergeCell ref="Z62:AG62"/>
    <mergeCell ref="A59:U59"/>
    <mergeCell ref="V59:Y59"/>
    <mergeCell ref="Z59:AG59"/>
    <mergeCell ref="A60:U60"/>
    <mergeCell ref="V60:Y60"/>
    <mergeCell ref="Z60:AG60"/>
    <mergeCell ref="AH59:AN59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H52:AN52"/>
    <mergeCell ref="A53:U53"/>
    <mergeCell ref="V53:Y53"/>
    <mergeCell ref="Z53:AG53"/>
    <mergeCell ref="AH53:AN53"/>
    <mergeCell ref="A54:U54"/>
    <mergeCell ref="V54:Y54"/>
    <mergeCell ref="Z54:AG54"/>
    <mergeCell ref="A51:U51"/>
    <mergeCell ref="V51:Y51"/>
    <mergeCell ref="Z51:AG51"/>
    <mergeCell ref="A52:U52"/>
    <mergeCell ref="V52:Y52"/>
    <mergeCell ref="Z52:AG52"/>
    <mergeCell ref="AH51:AN51"/>
    <mergeCell ref="AH54:AN54"/>
    <mergeCell ref="A49:U49"/>
    <mergeCell ref="V49:Y49"/>
    <mergeCell ref="Z49:AG49"/>
    <mergeCell ref="A50:U50"/>
    <mergeCell ref="V50:Y50"/>
    <mergeCell ref="Z50:AG50"/>
    <mergeCell ref="A47:U47"/>
    <mergeCell ref="V47:Y47"/>
    <mergeCell ref="Z47:AG47"/>
    <mergeCell ref="AH47:AN47"/>
    <mergeCell ref="A48:U48"/>
    <mergeCell ref="V48:Y48"/>
    <mergeCell ref="Z48:AG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41:U41"/>
    <mergeCell ref="V41:Y41"/>
    <mergeCell ref="Z41:AG41"/>
    <mergeCell ref="A38:U38"/>
    <mergeCell ref="V38:Y38"/>
    <mergeCell ref="Z38:AG38"/>
    <mergeCell ref="A39:U39"/>
    <mergeCell ref="V39:Y39"/>
    <mergeCell ref="Z39:AG39"/>
    <mergeCell ref="AH35:AN35"/>
    <mergeCell ref="A36:U36"/>
    <mergeCell ref="V36:Y36"/>
    <mergeCell ref="Z36:AG36"/>
    <mergeCell ref="A37:U37"/>
    <mergeCell ref="V37:Y37"/>
    <mergeCell ref="Z37:AG37"/>
    <mergeCell ref="AH37:AN37"/>
    <mergeCell ref="A33:U33"/>
    <mergeCell ref="V33:Y33"/>
    <mergeCell ref="A34:U34"/>
    <mergeCell ref="V34:Y34"/>
    <mergeCell ref="Z34:AG34"/>
    <mergeCell ref="A35:U35"/>
    <mergeCell ref="V35:Y35"/>
    <mergeCell ref="Z35:AG35"/>
    <mergeCell ref="Z33:AG33"/>
    <mergeCell ref="A31:U31"/>
    <mergeCell ref="V31:Y31"/>
    <mergeCell ref="Z31:AG31"/>
    <mergeCell ref="AH31:AN31"/>
    <mergeCell ref="A32:U32"/>
    <mergeCell ref="V32:Y32"/>
    <mergeCell ref="Z32:AG32"/>
    <mergeCell ref="AH32:AN32"/>
    <mergeCell ref="A29:U29"/>
    <mergeCell ref="V29:Y29"/>
    <mergeCell ref="Z29:AG29"/>
    <mergeCell ref="AH29:AN29"/>
    <mergeCell ref="A30:U30"/>
    <mergeCell ref="V30:Y30"/>
    <mergeCell ref="Z30:AG30"/>
    <mergeCell ref="A27:U27"/>
    <mergeCell ref="V27:Y27"/>
    <mergeCell ref="Z27:AG27"/>
    <mergeCell ref="AH27:AN27"/>
    <mergeCell ref="A28:U28"/>
    <mergeCell ref="V28:Y28"/>
    <mergeCell ref="Z28:AG28"/>
    <mergeCell ref="AH28:AN28"/>
    <mergeCell ref="A25:U25"/>
    <mergeCell ref="V25:Y25"/>
    <mergeCell ref="Z25:AG25"/>
    <mergeCell ref="AH25:AN25"/>
    <mergeCell ref="A26:U26"/>
    <mergeCell ref="V26:Y26"/>
    <mergeCell ref="Z26:AG26"/>
    <mergeCell ref="AH26:AN26"/>
    <mergeCell ref="A23:U23"/>
    <mergeCell ref="V23:Y23"/>
    <mergeCell ref="Z23:AG23"/>
    <mergeCell ref="A24:U24"/>
    <mergeCell ref="V24:Y24"/>
    <mergeCell ref="AH23:AN23"/>
    <mergeCell ref="A21:U21"/>
    <mergeCell ref="V21:Y21"/>
    <mergeCell ref="Z21:AG21"/>
    <mergeCell ref="A22:U22"/>
    <mergeCell ref="V22:Y22"/>
    <mergeCell ref="Z22:AG22"/>
    <mergeCell ref="A19:U19"/>
    <mergeCell ref="V19:Y19"/>
    <mergeCell ref="Z19:AG19"/>
    <mergeCell ref="AH19:AN19"/>
    <mergeCell ref="A20:U20"/>
    <mergeCell ref="V20:Y20"/>
    <mergeCell ref="Z20:AG20"/>
    <mergeCell ref="AH20:AN20"/>
    <mergeCell ref="AH15:AN15"/>
    <mergeCell ref="A18:U18"/>
    <mergeCell ref="V18:Y18"/>
    <mergeCell ref="Z18:AG18"/>
    <mergeCell ref="AH18:AN18"/>
    <mergeCell ref="A16:AN16"/>
    <mergeCell ref="A11:M11"/>
    <mergeCell ref="N11:Z11"/>
    <mergeCell ref="A12:Z12"/>
    <mergeCell ref="A13:F13"/>
    <mergeCell ref="Z15:AG15"/>
    <mergeCell ref="A9:I9"/>
    <mergeCell ref="J9:Z9"/>
    <mergeCell ref="AB9:AG9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</mergeCells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V93"/>
  <sheetViews>
    <sheetView view="pageBreakPreview" topLeftCell="A28" zoomScale="83" zoomScaleSheetLayoutView="83" workbookViewId="0">
      <selection activeCell="A4" sqref="A1:XFD1048576"/>
    </sheetView>
  </sheetViews>
  <sheetFormatPr defaultRowHeight="12.75"/>
  <cols>
    <col min="1" max="3" width="2.28515625" style="191" customWidth="1"/>
    <col min="4" max="4" width="3.140625" style="191" customWidth="1"/>
    <col min="5" max="5" width="2.28515625" style="191" customWidth="1"/>
    <col min="6" max="6" width="2.7109375" style="191" customWidth="1"/>
    <col min="7" max="20" width="2.28515625" style="191" customWidth="1"/>
    <col min="21" max="21" width="1.140625" style="191" customWidth="1"/>
    <col min="22" max="24" width="2.28515625" style="191" customWidth="1"/>
    <col min="25" max="25" width="1.28515625" style="191" customWidth="1"/>
    <col min="26" max="29" width="2.28515625" style="191" customWidth="1"/>
    <col min="30" max="34" width="2.28515625" style="200" customWidth="1"/>
    <col min="35" max="35" width="2.5703125" style="200" customWidth="1"/>
    <col min="36" max="36" width="2.85546875" style="200" customWidth="1"/>
    <col min="37" max="37" width="2.28515625" style="200" hidden="1" customWidth="1"/>
    <col min="38" max="38" width="4.7109375" style="200" customWidth="1"/>
    <col min="39" max="39" width="2" style="200" customWidth="1"/>
    <col min="40" max="40" width="9.85546875" style="200" customWidth="1"/>
    <col min="41" max="41" width="9.140625" style="200"/>
    <col min="42" max="42" width="13.28515625" style="200" customWidth="1"/>
    <col min="43" max="43" width="9.140625" style="200"/>
    <col min="44" max="44" width="11.7109375" style="200" customWidth="1"/>
    <col min="45" max="16384" width="9.140625" style="200"/>
  </cols>
  <sheetData>
    <row r="1" spans="1:40">
      <c r="W1" s="292" t="s">
        <v>208</v>
      </c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</row>
    <row r="3" spans="1:40" ht="15.75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15.75">
      <c r="A5" s="190"/>
      <c r="B5" s="190"/>
      <c r="C5" s="190"/>
      <c r="D5" s="190"/>
      <c r="E5" s="199"/>
      <c r="G5" s="190"/>
      <c r="H5" s="190"/>
      <c r="L5" s="5"/>
      <c r="AA5" s="199"/>
      <c r="AB5" s="199"/>
      <c r="AC5" s="199"/>
      <c r="AD5" s="199"/>
      <c r="AE5" s="199"/>
      <c r="AF5" s="199"/>
      <c r="AG5" s="199"/>
      <c r="AI5" s="256" t="s">
        <v>1</v>
      </c>
      <c r="AJ5" s="256"/>
      <c r="AK5" s="256"/>
      <c r="AL5" s="256"/>
      <c r="AM5" s="256"/>
      <c r="AN5" s="256"/>
    </row>
    <row r="6" spans="1:40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191"/>
      <c r="AI6" s="257" t="s">
        <v>290</v>
      </c>
      <c r="AJ6" s="258"/>
      <c r="AK6" s="259"/>
      <c r="AL6" s="197" t="s">
        <v>77</v>
      </c>
      <c r="AM6" s="284" t="s">
        <v>77</v>
      </c>
      <c r="AN6" s="284"/>
    </row>
    <row r="7" spans="1:40" ht="28.5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198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31.5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199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29.25" customHeight="1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190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30.7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198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294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198"/>
      <c r="AC11" s="192"/>
      <c r="AD11" s="192"/>
      <c r="AE11" s="192"/>
      <c r="AF11" s="192"/>
    </row>
    <row r="12" spans="1:40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198"/>
      <c r="AC12" s="12"/>
      <c r="AD12" s="12"/>
      <c r="AE12" s="191"/>
      <c r="AF12" s="191"/>
    </row>
    <row r="13" spans="1:40">
      <c r="A13" s="247" t="s">
        <v>130</v>
      </c>
      <c r="B13" s="247"/>
      <c r="C13" s="247"/>
      <c r="D13" s="247"/>
      <c r="E13" s="247"/>
      <c r="F13" s="247"/>
      <c r="AD13" s="191"/>
      <c r="AE13" s="191"/>
      <c r="AF13" s="191"/>
    </row>
    <row r="14" spans="1:40" ht="15.75">
      <c r="C14" s="12"/>
      <c r="D14" s="12"/>
      <c r="E14" s="12"/>
      <c r="F14" s="12"/>
      <c r="L14" s="5"/>
    </row>
    <row r="15" spans="1:40">
      <c r="I15" s="189" t="s">
        <v>303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>
      <c r="A16" s="289" t="s">
        <v>308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</row>
    <row r="17" spans="1:46" ht="15.75">
      <c r="G17" s="15"/>
      <c r="H17" s="15"/>
      <c r="L17" s="5"/>
    </row>
    <row r="18" spans="1:46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 t="s">
        <v>170</v>
      </c>
      <c r="W18" s="431"/>
      <c r="X18" s="431"/>
      <c r="Y18" s="431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>
      <c r="A19" s="281">
        <v>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>
      <c r="A20" s="283" t="s">
        <v>21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</row>
    <row r="21" spans="1:46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433">
        <v>0.2</v>
      </c>
      <c r="AA21" s="433">
        <v>127.2</v>
      </c>
      <c r="AB21" s="433">
        <v>127.2</v>
      </c>
      <c r="AC21" s="433">
        <v>127.2</v>
      </c>
      <c r="AD21" s="433">
        <v>127.2</v>
      </c>
      <c r="AE21" s="433">
        <v>127.2</v>
      </c>
      <c r="AF21" s="433">
        <v>127.2</v>
      </c>
      <c r="AG21" s="433">
        <v>127.2</v>
      </c>
      <c r="AH21" s="367">
        <v>58.6</v>
      </c>
      <c r="AI21" s="368"/>
      <c r="AJ21" s="368"/>
      <c r="AK21" s="368"/>
      <c r="AL21" s="368"/>
      <c r="AM21" s="368"/>
      <c r="AN21" s="369"/>
      <c r="AP21" s="93"/>
    </row>
    <row r="22" spans="1:46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Z23+Z24</f>
        <v>5735.8000000000011</v>
      </c>
      <c r="AA22" s="388"/>
      <c r="AB22" s="388"/>
      <c r="AC22" s="388"/>
      <c r="AD22" s="388"/>
      <c r="AE22" s="388"/>
      <c r="AF22" s="388"/>
      <c r="AG22" s="388"/>
      <c r="AH22" s="434">
        <f>AH23+AH24</f>
        <v>14914.699999999997</v>
      </c>
      <c r="AI22" s="279"/>
      <c r="AJ22" s="279"/>
      <c r="AK22" s="279"/>
      <c r="AL22" s="279"/>
      <c r="AM22" s="279"/>
      <c r="AN22" s="279"/>
    </row>
    <row r="23" spans="1:46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15989.7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432">
        <v>37174.699999999997</v>
      </c>
      <c r="AI23" s="432"/>
      <c r="AJ23" s="432"/>
      <c r="AK23" s="432"/>
      <c r="AL23" s="432"/>
      <c r="AM23" s="432"/>
      <c r="AN23" s="432"/>
      <c r="AP23" s="93"/>
      <c r="AQ23" s="93"/>
    </row>
    <row r="24" spans="1:46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433" t="s">
        <v>295</v>
      </c>
      <c r="AA24" s="433"/>
      <c r="AB24" s="433"/>
      <c r="AC24" s="433"/>
      <c r="AD24" s="433"/>
      <c r="AE24" s="433"/>
      <c r="AF24" s="433"/>
      <c r="AG24" s="433"/>
      <c r="AH24" s="442">
        <v>-22260</v>
      </c>
      <c r="AI24" s="443"/>
      <c r="AJ24" s="443"/>
      <c r="AK24" s="443"/>
      <c r="AL24" s="443"/>
      <c r="AM24" s="443"/>
      <c r="AN24" s="444"/>
      <c r="AP24" s="94"/>
      <c r="AQ24" s="94"/>
      <c r="AR24" s="93"/>
    </row>
    <row r="25" spans="1:46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388"/>
      <c r="AA25" s="388"/>
      <c r="AB25" s="388"/>
      <c r="AC25" s="388"/>
      <c r="AD25" s="388"/>
      <c r="AE25" s="388"/>
      <c r="AF25" s="388"/>
      <c r="AG25" s="388"/>
      <c r="AH25" s="279"/>
      <c r="AI25" s="279"/>
      <c r="AJ25" s="279"/>
      <c r="AK25" s="279"/>
      <c r="AL25" s="279"/>
      <c r="AM25" s="279"/>
      <c r="AN25" s="279"/>
    </row>
    <row r="26" spans="1:46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388"/>
      <c r="AA26" s="388"/>
      <c r="AB26" s="388"/>
      <c r="AC26" s="388"/>
      <c r="AD26" s="388"/>
      <c r="AE26" s="388"/>
      <c r="AF26" s="388"/>
      <c r="AG26" s="388"/>
      <c r="AH26" s="279"/>
      <c r="AI26" s="279"/>
      <c r="AJ26" s="279"/>
      <c r="AK26" s="279"/>
      <c r="AL26" s="279"/>
      <c r="AM26" s="279"/>
      <c r="AN26" s="279"/>
    </row>
    <row r="27" spans="1:46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388"/>
      <c r="AA27" s="388"/>
      <c r="AB27" s="388"/>
      <c r="AC27" s="388"/>
      <c r="AD27" s="388"/>
      <c r="AE27" s="388"/>
      <c r="AF27" s="388"/>
      <c r="AG27" s="388"/>
      <c r="AH27" s="279"/>
      <c r="AI27" s="279"/>
      <c r="AJ27" s="279"/>
      <c r="AK27" s="279"/>
      <c r="AL27" s="279"/>
      <c r="AM27" s="279"/>
      <c r="AN27" s="279"/>
    </row>
    <row r="28" spans="1:46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71" t="s">
        <v>142</v>
      </c>
      <c r="W28" s="371"/>
      <c r="X28" s="371"/>
      <c r="Y28" s="371"/>
      <c r="Z28" s="318">
        <f>Z22+Z25+Z26+Z27+Z21</f>
        <v>5736.0000000000009</v>
      </c>
      <c r="AA28" s="318"/>
      <c r="AB28" s="318"/>
      <c r="AC28" s="318"/>
      <c r="AD28" s="318"/>
      <c r="AE28" s="318"/>
      <c r="AF28" s="318"/>
      <c r="AG28" s="318"/>
      <c r="AH28" s="318">
        <f>AH22+AH25+AH26+AH27+AH21</f>
        <v>14973.299999999997</v>
      </c>
      <c r="AI28" s="319"/>
      <c r="AJ28" s="319"/>
      <c r="AK28" s="319"/>
      <c r="AL28" s="319"/>
      <c r="AM28" s="319"/>
      <c r="AN28" s="319"/>
    </row>
    <row r="29" spans="1:46">
      <c r="A29" s="283" t="s">
        <v>31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73"/>
      <c r="W29" s="273"/>
      <c r="X29" s="273"/>
      <c r="Y29" s="273"/>
      <c r="Z29" s="388"/>
      <c r="AA29" s="388"/>
      <c r="AB29" s="388"/>
      <c r="AC29" s="388"/>
      <c r="AD29" s="388"/>
      <c r="AE29" s="388"/>
      <c r="AF29" s="388"/>
      <c r="AG29" s="388"/>
      <c r="AH29" s="279"/>
      <c r="AI29" s="279"/>
      <c r="AJ29" s="279"/>
      <c r="AK29" s="279"/>
      <c r="AL29" s="279"/>
      <c r="AM29" s="279"/>
      <c r="AN29" s="279"/>
    </row>
    <row r="30" spans="1:46">
      <c r="A30" s="280" t="s">
        <v>132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73" t="s">
        <v>143</v>
      </c>
      <c r="W30" s="273"/>
      <c r="X30" s="273"/>
      <c r="Y30" s="273"/>
      <c r="Z30" s="433">
        <v>15820.5</v>
      </c>
      <c r="AA30" s="433"/>
      <c r="AB30" s="433"/>
      <c r="AC30" s="433"/>
      <c r="AD30" s="433"/>
      <c r="AE30" s="433"/>
      <c r="AF30" s="433"/>
      <c r="AG30" s="433"/>
      <c r="AH30" s="367">
        <v>18522</v>
      </c>
      <c r="AI30" s="368"/>
      <c r="AJ30" s="368"/>
      <c r="AK30" s="368"/>
      <c r="AL30" s="368"/>
      <c r="AM30" s="368"/>
      <c r="AN30" s="369"/>
      <c r="AP30" s="94"/>
      <c r="AQ30" s="94"/>
      <c r="AR30" s="94"/>
      <c r="AS30" s="36"/>
      <c r="AT30" s="36"/>
    </row>
    <row r="31" spans="1:46">
      <c r="A31" s="334" t="s">
        <v>210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273" t="s">
        <v>144</v>
      </c>
      <c r="W31" s="273"/>
      <c r="X31" s="273"/>
      <c r="Y31" s="273"/>
      <c r="Z31" s="433"/>
      <c r="AA31" s="433"/>
      <c r="AB31" s="433"/>
      <c r="AC31" s="433"/>
      <c r="AD31" s="433"/>
      <c r="AE31" s="433"/>
      <c r="AF31" s="433"/>
      <c r="AG31" s="433"/>
      <c r="AH31" s="279"/>
      <c r="AI31" s="279"/>
      <c r="AJ31" s="279"/>
      <c r="AK31" s="279"/>
      <c r="AL31" s="279"/>
      <c r="AM31" s="279"/>
      <c r="AN31" s="279"/>
    </row>
    <row r="32" spans="1:46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433"/>
      <c r="AA32" s="433"/>
      <c r="AB32" s="433"/>
      <c r="AC32" s="433"/>
      <c r="AD32" s="433"/>
      <c r="AE32" s="433"/>
      <c r="AF32" s="433"/>
      <c r="AG32" s="433"/>
      <c r="AH32" s="279"/>
      <c r="AI32" s="279"/>
      <c r="AJ32" s="279"/>
      <c r="AK32" s="279"/>
      <c r="AL32" s="279"/>
      <c r="AM32" s="279"/>
      <c r="AN32" s="279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306"/>
      <c r="AA33" s="414"/>
      <c r="AB33" s="414"/>
      <c r="AC33" s="414"/>
      <c r="AD33" s="414"/>
      <c r="AE33" s="414"/>
      <c r="AF33" s="414"/>
      <c r="AG33" s="426"/>
      <c r="AH33" s="367">
        <f t="array" ref="AH33">ROUND(SUM(IF((LEFT('[1]декабрь 2020'!$A$3:$A$150,2)="34")+(LEFT('[1]декабрь 2020'!$A$3:$A$150,2)="36"),'[1]декабрь 2020'!$AV$3:$AV$150))/1000,1)</f>
        <v>0</v>
      </c>
      <c r="AI33" s="368"/>
      <c r="AJ33" s="368"/>
      <c r="AK33" s="368"/>
      <c r="AL33" s="368"/>
      <c r="AM33" s="368"/>
      <c r="AN33" s="369"/>
      <c r="AP33" s="93"/>
      <c r="AQ33" s="93"/>
    </row>
    <row r="34" spans="1:48" ht="26.25" customHeight="1">
      <c r="A34" s="280" t="s">
        <v>36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73" t="s">
        <v>147</v>
      </c>
      <c r="W34" s="273"/>
      <c r="X34" s="273"/>
      <c r="Y34" s="273"/>
      <c r="Z34" s="433">
        <v>39.9</v>
      </c>
      <c r="AA34" s="433"/>
      <c r="AB34" s="433"/>
      <c r="AC34" s="433"/>
      <c r="AD34" s="433"/>
      <c r="AE34" s="433"/>
      <c r="AF34" s="433"/>
      <c r="AG34" s="433"/>
      <c r="AH34" s="367">
        <v>6</v>
      </c>
      <c r="AI34" s="368"/>
      <c r="AJ34" s="368"/>
      <c r="AK34" s="368"/>
      <c r="AL34" s="368"/>
      <c r="AM34" s="368"/>
      <c r="AN34" s="369"/>
      <c r="AP34" s="93"/>
      <c r="AQ34" s="93"/>
      <c r="AR34" s="93"/>
      <c r="AS34" s="93"/>
      <c r="AT34" s="93"/>
    </row>
    <row r="35" spans="1:48" ht="15" customHeight="1">
      <c r="A35" s="334" t="s">
        <v>164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273" t="s">
        <v>148</v>
      </c>
      <c r="W35" s="273"/>
      <c r="X35" s="273"/>
      <c r="Y35" s="273"/>
      <c r="Z35" s="433"/>
      <c r="AA35" s="433"/>
      <c r="AB35" s="433"/>
      <c r="AC35" s="433"/>
      <c r="AD35" s="433"/>
      <c r="AE35" s="433"/>
      <c r="AF35" s="433"/>
      <c r="AG35" s="433"/>
      <c r="AH35" s="279"/>
      <c r="AI35" s="279"/>
      <c r="AJ35" s="279"/>
      <c r="AK35" s="279"/>
      <c r="AL35" s="279"/>
      <c r="AM35" s="279"/>
      <c r="AN35" s="279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433">
        <v>0</v>
      </c>
      <c r="AA36" s="433"/>
      <c r="AB36" s="433"/>
      <c r="AC36" s="433"/>
      <c r="AD36" s="433"/>
      <c r="AE36" s="433"/>
      <c r="AF36" s="433"/>
      <c r="AG36" s="433"/>
      <c r="AH36" s="367">
        <f>44.6+247.1+0.1</f>
        <v>291.8</v>
      </c>
      <c r="AI36" s="368"/>
      <c r="AJ36" s="368"/>
      <c r="AK36" s="368"/>
      <c r="AL36" s="368"/>
      <c r="AM36" s="368"/>
      <c r="AN36" s="369"/>
      <c r="AP36" s="93"/>
      <c r="AQ36" s="93"/>
      <c r="AR36" s="93"/>
      <c r="AS36" s="93"/>
      <c r="AT36" s="93"/>
      <c r="AU36" s="93"/>
      <c r="AV36" s="93"/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433"/>
      <c r="AA37" s="433"/>
      <c r="AB37" s="433"/>
      <c r="AC37" s="433"/>
      <c r="AD37" s="433"/>
      <c r="AE37" s="433"/>
      <c r="AF37" s="433"/>
      <c r="AG37" s="433"/>
      <c r="AH37" s="435">
        <f t="array" ref="AH37">ROUND(SUM(IF(LEFT('[1]декабрь 2020'!$A$3:$A$150,3)="352",'[1]декабрь 2020'!$AV$3:$AV$150))/1000,1)</f>
        <v>0</v>
      </c>
      <c r="AI37" s="436"/>
      <c r="AJ37" s="436"/>
      <c r="AK37" s="436"/>
      <c r="AL37" s="436"/>
      <c r="AM37" s="436"/>
      <c r="AN37" s="437"/>
      <c r="AP37" s="93"/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433">
        <v>9138.1</v>
      </c>
      <c r="AA38" s="433"/>
      <c r="AB38" s="433"/>
      <c r="AC38" s="433"/>
      <c r="AD38" s="433"/>
      <c r="AE38" s="433"/>
      <c r="AF38" s="433"/>
      <c r="AG38" s="433"/>
      <c r="AH38" s="367">
        <v>12547</v>
      </c>
      <c r="AI38" s="368"/>
      <c r="AJ38" s="368"/>
      <c r="AK38" s="368"/>
      <c r="AL38" s="368"/>
      <c r="AM38" s="368"/>
      <c r="AN38" s="369"/>
      <c r="AP38" s="94"/>
      <c r="AQ38" s="94"/>
      <c r="AR38" s="94"/>
      <c r="AS38" s="93"/>
      <c r="AT38" s="93"/>
      <c r="AU38" s="93"/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434"/>
      <c r="AA39" s="434"/>
      <c r="AB39" s="434"/>
      <c r="AC39" s="434"/>
      <c r="AD39" s="434"/>
      <c r="AE39" s="434"/>
      <c r="AF39" s="434"/>
      <c r="AG39" s="434"/>
      <c r="AH39" s="367">
        <f t="array" ref="AH39">ROUND(SUM(IF((LEFT('[1]декабрь 2020'!$A$3:$A$150,2)="39"),'[1]декабрь 2020'!$AV$3:$AV$150))/1000,1)</f>
        <v>0</v>
      </c>
      <c r="AI39" s="368"/>
      <c r="AJ39" s="368"/>
      <c r="AK39" s="368"/>
      <c r="AL39" s="368"/>
      <c r="AM39" s="368"/>
      <c r="AN39" s="369"/>
      <c r="AP39" s="93"/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434">
        <v>8.4</v>
      </c>
      <c r="AA40" s="434"/>
      <c r="AB40" s="434"/>
      <c r="AC40" s="434"/>
      <c r="AD40" s="434"/>
      <c r="AE40" s="434"/>
      <c r="AF40" s="434"/>
      <c r="AG40" s="434"/>
      <c r="AH40" s="367">
        <v>8.4</v>
      </c>
      <c r="AI40" s="368"/>
      <c r="AJ40" s="368"/>
      <c r="AK40" s="368"/>
      <c r="AL40" s="368"/>
      <c r="AM40" s="368"/>
      <c r="AN40" s="369"/>
      <c r="AP40" s="93"/>
      <c r="AQ40" s="93"/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438">
        <v>25006.9</v>
      </c>
      <c r="AA41" s="438"/>
      <c r="AB41" s="438"/>
      <c r="AC41" s="438"/>
      <c r="AD41" s="438"/>
      <c r="AE41" s="438"/>
      <c r="AF41" s="438"/>
      <c r="AG41" s="438"/>
      <c r="AH41" s="318">
        <f>SUM(AH30,AH32:AN34,AH36:AN40)</f>
        <v>31375.200000000001</v>
      </c>
      <c r="AI41" s="318"/>
      <c r="AJ41" s="318"/>
      <c r="AK41" s="318"/>
      <c r="AL41" s="318"/>
      <c r="AM41" s="318"/>
      <c r="AN41" s="318"/>
    </row>
    <row r="42" spans="1:48" ht="24.75" customHeight="1">
      <c r="A42" s="283" t="s">
        <v>301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388"/>
      <c r="AA42" s="388"/>
      <c r="AB42" s="388"/>
      <c r="AC42" s="388"/>
      <c r="AD42" s="388"/>
      <c r="AE42" s="388"/>
      <c r="AF42" s="388"/>
      <c r="AG42" s="388"/>
      <c r="AH42" s="279"/>
      <c r="AI42" s="279"/>
      <c r="AJ42" s="279"/>
      <c r="AK42" s="279"/>
      <c r="AL42" s="279"/>
      <c r="AM42" s="279"/>
      <c r="AN42" s="279"/>
    </row>
    <row r="43" spans="1:48" ht="14.25" customHeight="1">
      <c r="A43" s="251" t="s">
        <v>44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371" t="s">
        <v>156</v>
      </c>
      <c r="W43" s="371"/>
      <c r="X43" s="371"/>
      <c r="Y43" s="371"/>
      <c r="Z43" s="318">
        <f>Z28+Z41+Z42</f>
        <v>30742.9</v>
      </c>
      <c r="AA43" s="318"/>
      <c r="AB43" s="318"/>
      <c r="AC43" s="318"/>
      <c r="AD43" s="318"/>
      <c r="AE43" s="318"/>
      <c r="AF43" s="318"/>
      <c r="AG43" s="318"/>
      <c r="AH43" s="318">
        <f>AH28+AH41+AH42</f>
        <v>46348.5</v>
      </c>
      <c r="AI43" s="319"/>
      <c r="AJ43" s="319"/>
      <c r="AK43" s="319"/>
      <c r="AL43" s="319"/>
      <c r="AM43" s="319"/>
      <c r="AN43" s="319"/>
      <c r="AP43" s="40"/>
    </row>
    <row r="44" spans="1:48" ht="4.5" hidden="1" customHeight="1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204"/>
      <c r="W44" s="204"/>
      <c r="X44" s="204"/>
      <c r="Y44" s="204"/>
      <c r="Z44" s="194"/>
      <c r="AA44" s="194"/>
      <c r="AB44" s="194"/>
      <c r="AC44" s="194"/>
      <c r="AD44" s="194"/>
      <c r="AE44" s="194"/>
      <c r="AF44" s="194"/>
      <c r="AG44" s="194"/>
      <c r="AH44" s="195"/>
      <c r="AI44" s="195"/>
      <c r="AJ44" s="195"/>
      <c r="AK44" s="195"/>
      <c r="AL44" s="195"/>
      <c r="AM44" s="195"/>
      <c r="AN44" s="195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81">
        <v>1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>
        <v>2</v>
      </c>
      <c r="W46" s="281"/>
      <c r="X46" s="281"/>
      <c r="Y46" s="281"/>
      <c r="Z46" s="272">
        <v>3</v>
      </c>
      <c r="AA46" s="272"/>
      <c r="AB46" s="272"/>
      <c r="AC46" s="272"/>
      <c r="AD46" s="272"/>
      <c r="AE46" s="272"/>
      <c r="AF46" s="272"/>
      <c r="AG46" s="272"/>
      <c r="AH46" s="272">
        <v>4</v>
      </c>
      <c r="AI46" s="272"/>
      <c r="AJ46" s="272"/>
      <c r="AK46" s="272"/>
      <c r="AL46" s="272"/>
      <c r="AM46" s="272"/>
      <c r="AN46" s="272"/>
    </row>
    <row r="47" spans="1:48" ht="19.5" customHeight="1">
      <c r="A47" s="283" t="s">
        <v>46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433">
        <v>7.5</v>
      </c>
      <c r="AA48" s="433"/>
      <c r="AB48" s="433"/>
      <c r="AC48" s="433"/>
      <c r="AD48" s="433"/>
      <c r="AE48" s="433"/>
      <c r="AF48" s="433"/>
      <c r="AG48" s="433"/>
      <c r="AH48" s="367">
        <f t="array" ref="AH48">-ROUND(SUM(IF(LEFT('[1]декабрь 2020'!$A$3:$A$150,2)="40",'[1]декабрь 2020'!$AW$3:$AW$150))/1000,1)</f>
        <v>7.5</v>
      </c>
      <c r="AI48" s="368"/>
      <c r="AJ48" s="368"/>
      <c r="AK48" s="368"/>
      <c r="AL48" s="368"/>
      <c r="AM48" s="368"/>
      <c r="AN48" s="369"/>
      <c r="AP48" s="94"/>
    </row>
    <row r="49" spans="1:43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388">
        <v>3434.2</v>
      </c>
      <c r="AA49" s="388"/>
      <c r="AB49" s="388"/>
      <c r="AC49" s="388"/>
      <c r="AD49" s="388"/>
      <c r="AE49" s="388"/>
      <c r="AF49" s="388"/>
      <c r="AG49" s="388"/>
      <c r="AH49" s="435">
        <v>8258.7999999999993</v>
      </c>
      <c r="AI49" s="436"/>
      <c r="AJ49" s="436"/>
      <c r="AK49" s="436"/>
      <c r="AL49" s="436"/>
      <c r="AM49" s="436"/>
      <c r="AN49" s="437"/>
    </row>
    <row r="50" spans="1:43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388"/>
      <c r="AA50" s="388"/>
      <c r="AB50" s="388"/>
      <c r="AC50" s="388"/>
      <c r="AD50" s="388"/>
      <c r="AE50" s="388"/>
      <c r="AF50" s="388"/>
      <c r="AG50" s="388"/>
      <c r="AH50" s="435">
        <f t="array" ref="AH50">-ROUND(SUM(IF(LEFT('[1]декабрь 2020'!$A$3:$A$150,2)="43",'[1]декабрь 2020'!$AW$3:$AW$150))/1000,1)</f>
        <v>0</v>
      </c>
      <c r="AI50" s="436"/>
      <c r="AJ50" s="436"/>
      <c r="AK50" s="436"/>
      <c r="AL50" s="436"/>
      <c r="AM50" s="436"/>
      <c r="AN50" s="437"/>
    </row>
    <row r="51" spans="1:43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433">
        <v>9797.2999999999993</v>
      </c>
      <c r="AA51" s="433"/>
      <c r="AB51" s="433"/>
      <c r="AC51" s="433"/>
      <c r="AD51" s="433"/>
      <c r="AE51" s="433"/>
      <c r="AF51" s="433"/>
      <c r="AG51" s="433"/>
      <c r="AH51" s="367">
        <v>18710.099999999999</v>
      </c>
      <c r="AI51" s="368"/>
      <c r="AJ51" s="368"/>
      <c r="AK51" s="368"/>
      <c r="AL51" s="368"/>
      <c r="AM51" s="368"/>
      <c r="AN51" s="369"/>
      <c r="AP51" s="36"/>
      <c r="AQ51" s="36"/>
    </row>
    <row r="52" spans="1:43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305" t="s">
        <v>117</v>
      </c>
      <c r="AA52" s="305"/>
      <c r="AB52" s="305"/>
      <c r="AC52" s="305"/>
      <c r="AD52" s="305"/>
      <c r="AE52" s="305"/>
      <c r="AF52" s="305"/>
      <c r="AG52" s="305"/>
      <c r="AH52" s="439" t="s">
        <v>118</v>
      </c>
      <c r="AI52" s="439"/>
      <c r="AJ52" s="439"/>
      <c r="AK52" s="439"/>
      <c r="AL52" s="439"/>
      <c r="AM52" s="439"/>
      <c r="AN52" s="439"/>
    </row>
    <row r="53" spans="1:43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18">
        <f>SUM(Z48:AG52)</f>
        <v>13239</v>
      </c>
      <c r="AA53" s="318"/>
      <c r="AB53" s="318"/>
      <c r="AC53" s="318"/>
      <c r="AD53" s="318"/>
      <c r="AE53" s="318"/>
      <c r="AF53" s="318"/>
      <c r="AG53" s="318"/>
      <c r="AH53" s="440">
        <f>SUM(AH48:AN52)</f>
        <v>26976.399999999998</v>
      </c>
      <c r="AI53" s="440"/>
      <c r="AJ53" s="440"/>
      <c r="AK53" s="440"/>
      <c r="AL53" s="440"/>
      <c r="AM53" s="440"/>
      <c r="AN53" s="440"/>
    </row>
    <row r="54" spans="1:43">
      <c r="A54" s="371" t="s">
        <v>158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283" t="s">
        <v>177</v>
      </c>
      <c r="W54" s="283"/>
      <c r="X54" s="283"/>
      <c r="Y54" s="283"/>
      <c r="Z54" s="438">
        <v>15400.9</v>
      </c>
      <c r="AA54" s="438"/>
      <c r="AB54" s="438"/>
      <c r="AC54" s="438"/>
      <c r="AD54" s="438"/>
      <c r="AE54" s="438"/>
      <c r="AF54" s="438"/>
      <c r="AG54" s="438"/>
      <c r="AH54" s="364">
        <v>16835.7</v>
      </c>
      <c r="AI54" s="365"/>
      <c r="AJ54" s="365"/>
      <c r="AK54" s="365"/>
      <c r="AL54" s="365"/>
      <c r="AM54" s="365"/>
      <c r="AN54" s="366"/>
      <c r="AP54" s="36"/>
    </row>
    <row r="55" spans="1:43">
      <c r="A55" s="283" t="s">
        <v>159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388"/>
      <c r="AA55" s="388"/>
      <c r="AB55" s="388"/>
      <c r="AC55" s="388"/>
      <c r="AD55" s="388"/>
      <c r="AE55" s="388"/>
      <c r="AF55" s="388"/>
      <c r="AG55" s="388"/>
      <c r="AH55" s="279"/>
      <c r="AI55" s="279"/>
      <c r="AJ55" s="279"/>
      <c r="AK55" s="279"/>
      <c r="AL55" s="279"/>
      <c r="AM55" s="279"/>
      <c r="AN55" s="279"/>
    </row>
    <row r="56" spans="1:43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1" t="s">
        <v>178</v>
      </c>
      <c r="W56" s="281"/>
      <c r="X56" s="281"/>
      <c r="Y56" s="281"/>
      <c r="Z56" s="388"/>
      <c r="AA56" s="388"/>
      <c r="AB56" s="388"/>
      <c r="AC56" s="388"/>
      <c r="AD56" s="388"/>
      <c r="AE56" s="388"/>
      <c r="AF56" s="388"/>
      <c r="AG56" s="388"/>
      <c r="AH56" s="279"/>
      <c r="AI56" s="279"/>
      <c r="AJ56" s="279"/>
      <c r="AK56" s="279"/>
      <c r="AL56" s="279"/>
      <c r="AM56" s="279"/>
      <c r="AN56" s="279"/>
    </row>
    <row r="57" spans="1:43">
      <c r="A57" s="280" t="s">
        <v>160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441"/>
      <c r="W57" s="441"/>
      <c r="X57" s="441"/>
      <c r="Y57" s="441"/>
      <c r="Z57" s="388"/>
      <c r="AA57" s="388"/>
      <c r="AB57" s="388"/>
      <c r="AC57" s="388"/>
      <c r="AD57" s="388"/>
      <c r="AE57" s="388"/>
      <c r="AF57" s="388"/>
      <c r="AG57" s="388"/>
      <c r="AH57" s="279"/>
      <c r="AI57" s="279"/>
      <c r="AJ57" s="279"/>
      <c r="AK57" s="279"/>
      <c r="AL57" s="279"/>
      <c r="AM57" s="279"/>
      <c r="AN57" s="279"/>
    </row>
    <row r="58" spans="1:43">
      <c r="A58" s="334" t="s">
        <v>161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281" t="s">
        <v>179</v>
      </c>
      <c r="W58" s="281"/>
      <c r="X58" s="281"/>
      <c r="Y58" s="281"/>
      <c r="Z58" s="388"/>
      <c r="AA58" s="388"/>
      <c r="AB58" s="388"/>
      <c r="AC58" s="388"/>
      <c r="AD58" s="388"/>
      <c r="AE58" s="388"/>
      <c r="AF58" s="388"/>
      <c r="AG58" s="388"/>
      <c r="AH58" s="279"/>
      <c r="AI58" s="279"/>
      <c r="AJ58" s="279"/>
      <c r="AK58" s="279"/>
      <c r="AL58" s="279"/>
      <c r="AM58" s="279"/>
      <c r="AN58" s="279"/>
    </row>
    <row r="59" spans="1:43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81" t="s">
        <v>180</v>
      </c>
      <c r="W59" s="281"/>
      <c r="X59" s="281"/>
      <c r="Y59" s="281"/>
      <c r="Z59" s="388"/>
      <c r="AA59" s="388"/>
      <c r="AB59" s="388"/>
      <c r="AC59" s="388"/>
      <c r="AD59" s="388"/>
      <c r="AE59" s="388"/>
      <c r="AF59" s="388"/>
      <c r="AG59" s="388"/>
      <c r="AH59" s="367">
        <f>10.6+32.6+1.4</f>
        <v>44.6</v>
      </c>
      <c r="AI59" s="368"/>
      <c r="AJ59" s="368"/>
      <c r="AK59" s="368"/>
      <c r="AL59" s="368"/>
      <c r="AM59" s="368"/>
      <c r="AN59" s="369"/>
    </row>
    <row r="60" spans="1:43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81" t="s">
        <v>181</v>
      </c>
      <c r="W60" s="281"/>
      <c r="X60" s="281"/>
      <c r="Y60" s="281"/>
      <c r="Z60" s="388">
        <v>7.8</v>
      </c>
      <c r="AA60" s="388"/>
      <c r="AB60" s="388"/>
      <c r="AC60" s="388"/>
      <c r="AD60" s="388"/>
      <c r="AE60" s="388"/>
      <c r="AF60" s="388"/>
      <c r="AG60" s="388"/>
      <c r="AH60" s="367">
        <f>25.4+1.4+2</f>
        <v>28.799999999999997</v>
      </c>
      <c r="AI60" s="368"/>
      <c r="AJ60" s="368"/>
      <c r="AK60" s="368"/>
      <c r="AL60" s="368"/>
      <c r="AM60" s="368"/>
      <c r="AN60" s="369"/>
      <c r="AP60" s="36"/>
      <c r="AQ60" s="36"/>
    </row>
    <row r="61" spans="1:43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81" t="s">
        <v>182</v>
      </c>
      <c r="W61" s="281"/>
      <c r="X61" s="281"/>
      <c r="Y61" s="281"/>
      <c r="Z61" s="388"/>
      <c r="AA61" s="388"/>
      <c r="AB61" s="388"/>
      <c r="AC61" s="388"/>
      <c r="AD61" s="388"/>
      <c r="AE61" s="388"/>
      <c r="AF61" s="388"/>
      <c r="AG61" s="388"/>
      <c r="AH61" s="279"/>
      <c r="AI61" s="279"/>
      <c r="AJ61" s="279"/>
      <c r="AK61" s="279"/>
      <c r="AL61" s="279"/>
      <c r="AM61" s="279"/>
      <c r="AN61" s="279"/>
    </row>
    <row r="62" spans="1:43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81" t="s">
        <v>183</v>
      </c>
      <c r="W62" s="281"/>
      <c r="X62" s="281"/>
      <c r="Y62" s="281"/>
      <c r="Z62" s="388"/>
      <c r="AA62" s="388"/>
      <c r="AB62" s="388"/>
      <c r="AC62" s="388"/>
      <c r="AD62" s="388"/>
      <c r="AE62" s="388"/>
      <c r="AF62" s="388"/>
      <c r="AG62" s="388"/>
      <c r="AH62" s="279"/>
      <c r="AI62" s="279"/>
      <c r="AJ62" s="279"/>
      <c r="AK62" s="279"/>
      <c r="AL62" s="279"/>
      <c r="AM62" s="279"/>
      <c r="AN62" s="279"/>
    </row>
    <row r="63" spans="1:43">
      <c r="A63" s="334" t="s">
        <v>166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281" t="s">
        <v>184</v>
      </c>
      <c r="W63" s="281"/>
      <c r="X63" s="281"/>
      <c r="Y63" s="281"/>
      <c r="Z63" s="388">
        <v>32.200000000000003</v>
      </c>
      <c r="AA63" s="388"/>
      <c r="AB63" s="388"/>
      <c r="AC63" s="388"/>
      <c r="AD63" s="388"/>
      <c r="AE63" s="388"/>
      <c r="AF63" s="388"/>
      <c r="AG63" s="388"/>
      <c r="AH63" s="367">
        <v>198.9</v>
      </c>
      <c r="AI63" s="368"/>
      <c r="AJ63" s="368"/>
      <c r="AK63" s="368"/>
      <c r="AL63" s="368"/>
      <c r="AM63" s="368"/>
      <c r="AN63" s="369"/>
      <c r="AP63" s="36"/>
    </row>
    <row r="64" spans="1:43">
      <c r="A64" s="280" t="s">
        <v>167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1" t="s">
        <v>185</v>
      </c>
      <c r="W64" s="281"/>
      <c r="X64" s="281"/>
      <c r="Y64" s="281"/>
      <c r="Z64" s="388">
        <v>2063</v>
      </c>
      <c r="AA64" s="388"/>
      <c r="AB64" s="388"/>
      <c r="AC64" s="388"/>
      <c r="AD64" s="388"/>
      <c r="AE64" s="388"/>
      <c r="AF64" s="388"/>
      <c r="AG64" s="388"/>
      <c r="AH64" s="367">
        <v>2264.1</v>
      </c>
      <c r="AI64" s="368"/>
      <c r="AJ64" s="368"/>
      <c r="AK64" s="368"/>
      <c r="AL64" s="368"/>
      <c r="AM64" s="368"/>
      <c r="AN64" s="369"/>
    </row>
    <row r="65" spans="1:45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1" t="s">
        <v>186</v>
      </c>
      <c r="W65" s="281"/>
      <c r="X65" s="281"/>
      <c r="Y65" s="281"/>
      <c r="Z65" s="388">
        <v>0</v>
      </c>
      <c r="AA65" s="388"/>
      <c r="AB65" s="388"/>
      <c r="AC65" s="388"/>
      <c r="AD65" s="388"/>
      <c r="AE65" s="388"/>
      <c r="AF65" s="388"/>
      <c r="AG65" s="388"/>
      <c r="AH65" s="367">
        <f t="array" ref="AH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I65" s="368"/>
      <c r="AJ65" s="368"/>
      <c r="AK65" s="368"/>
      <c r="AL65" s="368"/>
      <c r="AM65" s="368"/>
      <c r="AN65" s="369"/>
      <c r="AP65" s="36"/>
    </row>
    <row r="66" spans="1:45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1" t="s">
        <v>187</v>
      </c>
      <c r="W66" s="281"/>
      <c r="X66" s="281"/>
      <c r="Y66" s="281"/>
      <c r="Z66" s="318">
        <f>SUM(Z56:AG60,Z62:AG65)</f>
        <v>2103</v>
      </c>
      <c r="AA66" s="318"/>
      <c r="AB66" s="318"/>
      <c r="AC66" s="318"/>
      <c r="AD66" s="318"/>
      <c r="AE66" s="318"/>
      <c r="AF66" s="318"/>
      <c r="AG66" s="318"/>
      <c r="AH66" s="440">
        <f>SUM(AH56:AN60,AH62:AN65)</f>
        <v>2536.4</v>
      </c>
      <c r="AI66" s="440"/>
      <c r="AJ66" s="440"/>
      <c r="AK66" s="440"/>
      <c r="AL66" s="440"/>
      <c r="AM66" s="440"/>
      <c r="AN66" s="440"/>
    </row>
    <row r="67" spans="1:45">
      <c r="A67" s="371" t="s">
        <v>169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283" t="s">
        <v>188</v>
      </c>
      <c r="W67" s="283"/>
      <c r="X67" s="283"/>
      <c r="Y67" s="283"/>
      <c r="Z67" s="388">
        <v>0</v>
      </c>
      <c r="AA67" s="388"/>
      <c r="AB67" s="388"/>
      <c r="AC67" s="388"/>
      <c r="AD67" s="388"/>
      <c r="AE67" s="388"/>
      <c r="AF67" s="388"/>
      <c r="AG67" s="388"/>
      <c r="AH67" s="367">
        <v>0</v>
      </c>
      <c r="AI67" s="368"/>
      <c r="AJ67" s="368"/>
      <c r="AK67" s="368"/>
      <c r="AL67" s="368"/>
      <c r="AM67" s="368"/>
      <c r="AN67" s="369"/>
    </row>
    <row r="68" spans="1:45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30742.9</v>
      </c>
      <c r="AA68" s="318"/>
      <c r="AB68" s="318"/>
      <c r="AC68" s="318"/>
      <c r="AD68" s="318"/>
      <c r="AE68" s="318"/>
      <c r="AF68" s="318"/>
      <c r="AG68" s="318"/>
      <c r="AH68" s="318">
        <f>SUM(AH66:AN67,AH53,AH54:AM54)</f>
        <v>46348.5</v>
      </c>
      <c r="AI68" s="319"/>
      <c r="AJ68" s="319"/>
      <c r="AK68" s="319"/>
      <c r="AL68" s="319"/>
      <c r="AM68" s="319"/>
      <c r="AN68" s="319"/>
      <c r="AP68" s="40"/>
      <c r="AR68" s="100"/>
      <c r="AS68" s="40"/>
    </row>
    <row r="69" spans="1:45" ht="15.75">
      <c r="A69" s="193"/>
      <c r="B69" s="193"/>
      <c r="C69" s="193"/>
      <c r="D69" s="193"/>
      <c r="F69" s="193"/>
      <c r="G69" s="193"/>
      <c r="H69" s="193"/>
      <c r="I69" s="193"/>
      <c r="J69" s="193"/>
      <c r="K69" s="193"/>
      <c r="L69" s="5"/>
      <c r="V69" s="193"/>
    </row>
    <row r="70" spans="1:45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5">
      <c r="A71" s="313" t="s">
        <v>309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5">
      <c r="A72" s="27"/>
      <c r="B72" s="27"/>
      <c r="C72" s="27"/>
      <c r="D72" s="27"/>
      <c r="E72" s="28"/>
      <c r="F72" s="27"/>
      <c r="G72" s="29"/>
      <c r="H72" s="201"/>
      <c r="I72" s="201"/>
      <c r="J72" s="201"/>
      <c r="K72" s="201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5" ht="15.7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5" ht="15.7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</row>
    <row r="75" spans="1:45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65" t="s">
        <v>190</v>
      </c>
      <c r="AI75" s="266"/>
      <c r="AJ75" s="266"/>
      <c r="AK75" s="266"/>
      <c r="AL75" s="266"/>
      <c r="AM75" s="266"/>
      <c r="AN75" s="267"/>
    </row>
    <row r="76" spans="1:45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5" ht="27.75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421" t="s">
        <v>194</v>
      </c>
      <c r="W77" s="421"/>
      <c r="X77" s="421"/>
      <c r="Y77" s="421"/>
      <c r="Z77" s="272">
        <v>32103.3</v>
      </c>
      <c r="AA77" s="272"/>
      <c r="AB77" s="272"/>
      <c r="AC77" s="272"/>
      <c r="AD77" s="272"/>
      <c r="AE77" s="272"/>
      <c r="AF77" s="272"/>
      <c r="AG77" s="272"/>
      <c r="AH77" s="311">
        <v>20456.8</v>
      </c>
      <c r="AI77" s="307"/>
      <c r="AJ77" s="307"/>
      <c r="AK77" s="307"/>
      <c r="AL77" s="307"/>
      <c r="AM77" s="307"/>
      <c r="AN77" s="308"/>
      <c r="AO77" s="65"/>
    </row>
    <row r="78" spans="1:45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421" t="s">
        <v>195</v>
      </c>
      <c r="W78" s="421"/>
      <c r="X78" s="421"/>
      <c r="Y78" s="421"/>
      <c r="Z78" s="306">
        <v>9986.5</v>
      </c>
      <c r="AA78" s="414"/>
      <c r="AB78" s="414"/>
      <c r="AC78" s="414"/>
      <c r="AD78" s="414"/>
      <c r="AE78" s="414"/>
      <c r="AF78" s="414"/>
      <c r="AG78" s="426"/>
      <c r="AH78" s="311">
        <v>0</v>
      </c>
      <c r="AI78" s="307"/>
      <c r="AJ78" s="307"/>
      <c r="AK78" s="307"/>
      <c r="AL78" s="307"/>
      <c r="AM78" s="307"/>
      <c r="AN78" s="308"/>
      <c r="AO78" s="65"/>
    </row>
    <row r="79" spans="1:45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421" t="s">
        <v>196</v>
      </c>
      <c r="W79" s="421"/>
      <c r="X79" s="421"/>
      <c r="Y79" s="421"/>
      <c r="Z79" s="422">
        <v>445</v>
      </c>
      <c r="AA79" s="423"/>
      <c r="AB79" s="423"/>
      <c r="AC79" s="423"/>
      <c r="AD79" s="423"/>
      <c r="AE79" s="423"/>
      <c r="AF79" s="423"/>
      <c r="AG79" s="424"/>
      <c r="AH79" s="311">
        <v>392.7</v>
      </c>
      <c r="AI79" s="307"/>
      <c r="AJ79" s="307"/>
      <c r="AK79" s="307"/>
      <c r="AL79" s="307"/>
      <c r="AM79" s="307"/>
      <c r="AN79" s="308"/>
      <c r="AO79" s="65"/>
    </row>
    <row r="80" spans="1:45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425" t="s">
        <v>197</v>
      </c>
      <c r="W80" s="425"/>
      <c r="X80" s="425"/>
      <c r="Y80" s="425"/>
      <c r="Z80" s="312">
        <f>SUM(Z77:AG79)</f>
        <v>42534.8</v>
      </c>
      <c r="AA80" s="312"/>
      <c r="AB80" s="312"/>
      <c r="AC80" s="312"/>
      <c r="AD80" s="312"/>
      <c r="AE80" s="312"/>
      <c r="AF80" s="312"/>
      <c r="AG80" s="312"/>
      <c r="AH80" s="299">
        <f>AH77+AH78+AH79</f>
        <v>20849.5</v>
      </c>
      <c r="AI80" s="309"/>
      <c r="AJ80" s="309"/>
      <c r="AK80" s="309"/>
      <c r="AL80" s="309"/>
      <c r="AM80" s="309"/>
      <c r="AN80" s="310"/>
      <c r="AO80" s="66"/>
    </row>
    <row r="81" spans="1:41" ht="29.25" customHeight="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421" t="s">
        <v>198</v>
      </c>
      <c r="W81" s="421"/>
      <c r="X81" s="421"/>
      <c r="Y81" s="421"/>
      <c r="Z81" s="202" t="s">
        <v>117</v>
      </c>
      <c r="AA81" s="254">
        <v>33529.199999999997</v>
      </c>
      <c r="AB81" s="254"/>
      <c r="AC81" s="254"/>
      <c r="AD81" s="254"/>
      <c r="AE81" s="254"/>
      <c r="AF81" s="254"/>
      <c r="AG81" s="203" t="s">
        <v>218</v>
      </c>
      <c r="AH81" s="257" t="s">
        <v>306</v>
      </c>
      <c r="AI81" s="258"/>
      <c r="AJ81" s="258"/>
      <c r="AK81" s="258"/>
      <c r="AL81" s="258"/>
      <c r="AM81" s="258"/>
      <c r="AN81" s="259"/>
    </row>
    <row r="82" spans="1:4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421" t="s">
        <v>199</v>
      </c>
      <c r="W82" s="421"/>
      <c r="X82" s="421"/>
      <c r="Y82" s="421"/>
      <c r="Z82" s="202" t="s">
        <v>117</v>
      </c>
      <c r="AA82" s="414">
        <f>5018</f>
        <v>5018</v>
      </c>
      <c r="AB82" s="414"/>
      <c r="AC82" s="414"/>
      <c r="AD82" s="414"/>
      <c r="AE82" s="414"/>
      <c r="AF82" s="414"/>
      <c r="AG82" s="203" t="s">
        <v>218</v>
      </c>
      <c r="AH82" s="257" t="s">
        <v>307</v>
      </c>
      <c r="AI82" s="258"/>
      <c r="AJ82" s="258"/>
      <c r="AK82" s="258"/>
      <c r="AL82" s="258"/>
      <c r="AM82" s="258"/>
      <c r="AN82" s="259"/>
    </row>
    <row r="83" spans="1:4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202" t="s">
        <v>117</v>
      </c>
      <c r="AA83" s="430"/>
      <c r="AB83" s="430"/>
      <c r="AC83" s="430"/>
      <c r="AD83" s="430"/>
      <c r="AE83" s="430"/>
      <c r="AF83" s="430"/>
      <c r="AG83" s="203" t="s">
        <v>218</v>
      </c>
      <c r="AH83" s="257" t="s">
        <v>305</v>
      </c>
      <c r="AI83" s="258"/>
      <c r="AJ83" s="258"/>
      <c r="AK83" s="258"/>
      <c r="AL83" s="258"/>
      <c r="AM83" s="258"/>
      <c r="AN83" s="259"/>
    </row>
    <row r="84" spans="1:4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202" t="s">
        <v>117</v>
      </c>
      <c r="AA84" s="309">
        <f>SUM(AA81:AF83)</f>
        <v>38547.199999999997</v>
      </c>
      <c r="AB84" s="309"/>
      <c r="AC84" s="309"/>
      <c r="AD84" s="309"/>
      <c r="AE84" s="309"/>
      <c r="AF84" s="309"/>
      <c r="AG84" s="203" t="s">
        <v>218</v>
      </c>
      <c r="AH84" s="205" t="s">
        <v>219</v>
      </c>
      <c r="AI84" s="309">
        <f>244.1+1168.4+15941.5</f>
        <v>17354</v>
      </c>
      <c r="AJ84" s="309"/>
      <c r="AK84" s="309"/>
      <c r="AL84" s="309"/>
      <c r="AM84" s="309"/>
      <c r="AN84" s="206" t="s">
        <v>218</v>
      </c>
      <c r="AO84" s="33"/>
    </row>
    <row r="85" spans="1:4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3987.6000000000058</v>
      </c>
      <c r="AA85" s="272"/>
      <c r="AB85" s="272"/>
      <c r="AC85" s="272"/>
      <c r="AD85" s="272"/>
      <c r="AE85" s="272"/>
      <c r="AF85" s="272"/>
      <c r="AG85" s="272"/>
      <c r="AH85" s="306">
        <v>3495.5</v>
      </c>
      <c r="AI85" s="414"/>
      <c r="AJ85" s="414"/>
      <c r="AK85" s="414"/>
      <c r="AL85" s="414"/>
      <c r="AM85" s="414"/>
      <c r="AN85" s="426"/>
      <c r="AO85" s="65"/>
    </row>
    <row r="86" spans="1:4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202" t="s">
        <v>117</v>
      </c>
      <c r="AA86" s="254"/>
      <c r="AB86" s="254"/>
      <c r="AC86" s="254"/>
      <c r="AD86" s="254"/>
      <c r="AE86" s="254"/>
      <c r="AF86" s="254"/>
      <c r="AG86" s="203" t="s">
        <v>218</v>
      </c>
      <c r="AH86" s="418" t="s">
        <v>300</v>
      </c>
      <c r="AI86" s="419"/>
      <c r="AJ86" s="419"/>
      <c r="AK86" s="419"/>
      <c r="AL86" s="419"/>
      <c r="AM86" s="419"/>
      <c r="AN86" s="420"/>
      <c r="AO86" s="65"/>
    </row>
    <row r="87" spans="1:4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3987.6000000000058</v>
      </c>
      <c r="AA87" s="300"/>
      <c r="AB87" s="300"/>
      <c r="AC87" s="300"/>
      <c r="AD87" s="300"/>
      <c r="AE87" s="300"/>
      <c r="AF87" s="300"/>
      <c r="AG87" s="301"/>
      <c r="AH87" s="299">
        <f>AH85</f>
        <v>3495.5</v>
      </c>
      <c r="AI87" s="309"/>
      <c r="AJ87" s="309"/>
      <c r="AK87" s="309"/>
      <c r="AL87" s="309"/>
      <c r="AM87" s="309"/>
      <c r="AN87" s="310"/>
      <c r="AO87" s="65"/>
    </row>
    <row r="89" spans="1:41">
      <c r="B89" s="247" t="s">
        <v>91</v>
      </c>
      <c r="C89" s="247"/>
      <c r="D89" s="247"/>
      <c r="E89" s="247"/>
      <c r="F89" s="247"/>
      <c r="G89" s="247"/>
      <c r="H89" s="247"/>
      <c r="I89" s="247"/>
      <c r="Q89" s="200"/>
      <c r="R89" s="200"/>
      <c r="S89" s="200"/>
      <c r="T89" s="200"/>
      <c r="U89" s="246"/>
      <c r="V89" s="246"/>
      <c r="W89" s="246"/>
      <c r="X89" s="246"/>
      <c r="AH89" s="445" t="s">
        <v>227</v>
      </c>
      <c r="AI89" s="445"/>
      <c r="AJ89" s="445"/>
      <c r="AK89" s="445"/>
      <c r="AL89" s="445"/>
      <c r="AM89" s="445"/>
    </row>
    <row r="90" spans="1:41">
      <c r="Q90" s="200"/>
      <c r="R90" s="200"/>
      <c r="S90" s="200"/>
      <c r="T90" s="200"/>
      <c r="U90" s="294" t="s">
        <v>94</v>
      </c>
      <c r="V90" s="294"/>
      <c r="W90" s="294"/>
      <c r="X90" s="294"/>
      <c r="AH90" s="446" t="s">
        <v>93</v>
      </c>
      <c r="AI90" s="446"/>
      <c r="AJ90" s="446"/>
      <c r="AK90" s="446"/>
      <c r="AL90" s="446"/>
      <c r="AM90" s="446"/>
    </row>
    <row r="91" spans="1:41">
      <c r="Q91" s="200"/>
      <c r="R91" s="200"/>
      <c r="S91" s="200"/>
      <c r="T91" s="200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200"/>
      <c r="R92" s="200"/>
      <c r="S92" s="200"/>
      <c r="T92" s="200"/>
      <c r="U92" s="246"/>
      <c r="V92" s="246"/>
      <c r="W92" s="246"/>
      <c r="X92" s="246"/>
      <c r="AH92" s="445" t="s">
        <v>228</v>
      </c>
      <c r="AI92" s="445"/>
      <c r="AJ92" s="445"/>
      <c r="AK92" s="445"/>
      <c r="AL92" s="445"/>
      <c r="AM92" s="445"/>
    </row>
    <row r="93" spans="1:41">
      <c r="Q93" s="200"/>
      <c r="R93" s="200"/>
      <c r="S93" s="200"/>
      <c r="T93" s="200"/>
      <c r="U93" s="294" t="s">
        <v>94</v>
      </c>
      <c r="V93" s="294"/>
      <c r="W93" s="294"/>
      <c r="X93" s="294"/>
      <c r="AH93" s="446" t="s">
        <v>93</v>
      </c>
      <c r="AI93" s="446"/>
      <c r="AJ93" s="446"/>
      <c r="AK93" s="446"/>
      <c r="AL93" s="446"/>
      <c r="AM93" s="446"/>
    </row>
  </sheetData>
  <mergeCells count="299"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78:U78"/>
    <mergeCell ref="V78:Y78"/>
    <mergeCell ref="Z78:AG78"/>
    <mergeCell ref="AH78:AN78"/>
    <mergeCell ref="A79:U79"/>
    <mergeCell ref="V79:Y79"/>
    <mergeCell ref="Z79:AG79"/>
    <mergeCell ref="AH79:AN79"/>
    <mergeCell ref="A76:U76"/>
    <mergeCell ref="V76:Y76"/>
    <mergeCell ref="Z76:AG76"/>
    <mergeCell ref="AH76:AN76"/>
    <mergeCell ref="A77:U77"/>
    <mergeCell ref="V77:Y77"/>
    <mergeCell ref="Z77:AG77"/>
    <mergeCell ref="AH77:AN77"/>
    <mergeCell ref="A82:U82"/>
    <mergeCell ref="V82:Y82"/>
    <mergeCell ref="AA82:AF82"/>
    <mergeCell ref="AH82:AN82"/>
    <mergeCell ref="A83:U83"/>
    <mergeCell ref="V83:Y83"/>
    <mergeCell ref="AA83:AF83"/>
    <mergeCell ref="AH83:AN83"/>
    <mergeCell ref="A80:U80"/>
    <mergeCell ref="V80:Y80"/>
    <mergeCell ref="Z80:AG80"/>
    <mergeCell ref="AH80:AN80"/>
    <mergeCell ref="A81:U81"/>
    <mergeCell ref="V81:Y81"/>
    <mergeCell ref="AA81:AF81"/>
    <mergeCell ref="AH81:AN8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85:U85"/>
    <mergeCell ref="V85:Y85"/>
    <mergeCell ref="Z85:AG85"/>
    <mergeCell ref="AH85:AN85"/>
    <mergeCell ref="AI84:AM84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</mergeCells>
  <pageMargins left="0.7" right="0.2" top="0.2" bottom="0.2" header="0.2" footer="0.2"/>
  <pageSetup paperSize="9" scale="97" orientation="portrait" r:id="rId1"/>
  <rowBreaks count="1" manualBreakCount="1">
    <brk id="54" max="3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V93"/>
  <sheetViews>
    <sheetView view="pageBreakPreview" topLeftCell="A70" zoomScale="90" zoomScaleSheetLayoutView="90" workbookViewId="0">
      <selection activeCell="A76" sqref="A76:U76"/>
    </sheetView>
  </sheetViews>
  <sheetFormatPr defaultRowHeight="12.75"/>
  <cols>
    <col min="1" max="3" width="2.28515625" style="210" customWidth="1"/>
    <col min="4" max="4" width="3.140625" style="210" customWidth="1"/>
    <col min="5" max="5" width="2.28515625" style="210" customWidth="1"/>
    <col min="6" max="6" width="2.7109375" style="210" customWidth="1"/>
    <col min="7" max="20" width="2.28515625" style="210" customWidth="1"/>
    <col min="21" max="21" width="1.140625" style="210" customWidth="1"/>
    <col min="22" max="22" width="2.42578125" style="210" customWidth="1"/>
    <col min="23" max="24" width="2.28515625" style="210" customWidth="1"/>
    <col min="25" max="25" width="1.28515625" style="210" customWidth="1"/>
    <col min="26" max="29" width="2.28515625" style="210" customWidth="1"/>
    <col min="30" max="31" width="2.28515625" style="221" customWidth="1"/>
    <col min="32" max="32" width="0.5703125" style="221" customWidth="1"/>
    <col min="33" max="34" width="2.28515625" style="221" customWidth="1"/>
    <col min="35" max="35" width="2.5703125" style="221" customWidth="1"/>
    <col min="36" max="36" width="2.85546875" style="221" customWidth="1"/>
    <col min="37" max="37" width="2.28515625" style="221" hidden="1" customWidth="1"/>
    <col min="38" max="38" width="2.7109375" style="221" customWidth="1"/>
    <col min="39" max="39" width="2" style="221" customWidth="1"/>
    <col min="40" max="40" width="9.85546875" style="221" customWidth="1"/>
    <col min="41" max="41" width="9.140625" style="221"/>
    <col min="42" max="42" width="13.28515625" style="221" customWidth="1"/>
    <col min="43" max="43" width="9.140625" style="221"/>
    <col min="44" max="44" width="11.7109375" style="221" customWidth="1"/>
    <col min="45" max="16384" width="9.140625" style="221"/>
  </cols>
  <sheetData>
    <row r="1" spans="1:40">
      <c r="W1" s="292" t="s">
        <v>208</v>
      </c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</row>
    <row r="3" spans="1:40" ht="15.75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15.75">
      <c r="A5" s="212"/>
      <c r="B5" s="212"/>
      <c r="C5" s="212"/>
      <c r="D5" s="212"/>
      <c r="E5" s="216"/>
      <c r="G5" s="212"/>
      <c r="H5" s="212"/>
      <c r="L5" s="5"/>
      <c r="AA5" s="216"/>
      <c r="AB5" s="216"/>
      <c r="AC5" s="216"/>
      <c r="AD5" s="216"/>
      <c r="AE5" s="216"/>
      <c r="AF5" s="216"/>
      <c r="AG5" s="216"/>
      <c r="AI5" s="256" t="s">
        <v>1</v>
      </c>
      <c r="AJ5" s="256"/>
      <c r="AK5" s="256"/>
      <c r="AL5" s="256"/>
      <c r="AM5" s="256"/>
      <c r="AN5" s="256"/>
    </row>
    <row r="6" spans="1:40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10"/>
      <c r="AI6" s="257" t="s">
        <v>290</v>
      </c>
      <c r="AJ6" s="258"/>
      <c r="AK6" s="259"/>
      <c r="AL6" s="207" t="s">
        <v>77</v>
      </c>
      <c r="AM6" s="284" t="s">
        <v>77</v>
      </c>
      <c r="AN6" s="284"/>
    </row>
    <row r="7" spans="1:40" ht="15.75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211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15.75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216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15.75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212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15.75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211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1" t="s">
        <v>313</v>
      </c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211"/>
      <c r="AC11" s="214"/>
      <c r="AD11" s="214"/>
      <c r="AE11" s="214"/>
      <c r="AF11" s="214"/>
    </row>
    <row r="12" spans="1:40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11"/>
      <c r="AC12" s="12"/>
      <c r="AD12" s="12"/>
      <c r="AE12" s="210"/>
      <c r="AF12" s="210"/>
    </row>
    <row r="13" spans="1:40">
      <c r="A13" s="247" t="s">
        <v>130</v>
      </c>
      <c r="B13" s="247"/>
      <c r="C13" s="247"/>
      <c r="D13" s="247"/>
      <c r="E13" s="247"/>
      <c r="F13" s="247"/>
      <c r="AD13" s="210"/>
      <c r="AE13" s="210"/>
      <c r="AF13" s="210"/>
    </row>
    <row r="14" spans="1:40" ht="15.75">
      <c r="C14" s="12"/>
      <c r="D14" s="12"/>
      <c r="E14" s="12"/>
      <c r="F14" s="12"/>
      <c r="L14" s="5"/>
    </row>
    <row r="15" spans="1:40">
      <c r="I15" s="189" t="s">
        <v>303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>
      <c r="A16" s="289" t="s">
        <v>308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</row>
    <row r="17" spans="1:46" ht="15.75">
      <c r="G17" s="15"/>
      <c r="H17" s="15"/>
      <c r="L17" s="5"/>
    </row>
    <row r="18" spans="1:46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 t="s">
        <v>170</v>
      </c>
      <c r="W18" s="431"/>
      <c r="X18" s="431"/>
      <c r="Y18" s="431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>
      <c r="A19" s="281">
        <v>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>
      <c r="A20" s="283" t="s">
        <v>21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</row>
    <row r="21" spans="1:46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433">
        <v>0.2</v>
      </c>
      <c r="AA21" s="433">
        <v>127.2</v>
      </c>
      <c r="AB21" s="433">
        <v>127.2</v>
      </c>
      <c r="AC21" s="433">
        <v>127.2</v>
      </c>
      <c r="AD21" s="433">
        <v>127.2</v>
      </c>
      <c r="AE21" s="433">
        <v>127.2</v>
      </c>
      <c r="AF21" s="433">
        <v>127.2</v>
      </c>
      <c r="AG21" s="433">
        <v>127.2</v>
      </c>
      <c r="AH21" s="367">
        <v>2416.3000000000002</v>
      </c>
      <c r="AI21" s="368"/>
      <c r="AJ21" s="368"/>
      <c r="AK21" s="368"/>
      <c r="AL21" s="368"/>
      <c r="AM21" s="368"/>
      <c r="AN21" s="369"/>
      <c r="AP21" s="93"/>
    </row>
    <row r="22" spans="1:46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Z23+Z24</f>
        <v>5735.8000000000011</v>
      </c>
      <c r="AA22" s="388"/>
      <c r="AB22" s="388"/>
      <c r="AC22" s="388"/>
      <c r="AD22" s="388"/>
      <c r="AE22" s="388"/>
      <c r="AF22" s="388"/>
      <c r="AG22" s="388"/>
      <c r="AH22" s="434">
        <f>AH23+AH24</f>
        <v>15005</v>
      </c>
      <c r="AI22" s="279"/>
      <c r="AJ22" s="279"/>
      <c r="AK22" s="279"/>
      <c r="AL22" s="279"/>
      <c r="AM22" s="279"/>
      <c r="AN22" s="279"/>
    </row>
    <row r="23" spans="1:46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15989.7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432">
        <v>37628</v>
      </c>
      <c r="AI23" s="432"/>
      <c r="AJ23" s="432"/>
      <c r="AK23" s="432"/>
      <c r="AL23" s="432"/>
      <c r="AM23" s="432"/>
      <c r="AN23" s="432"/>
      <c r="AP23" s="93"/>
      <c r="AQ23" s="93"/>
    </row>
    <row r="24" spans="1:46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433" t="s">
        <v>295</v>
      </c>
      <c r="AA24" s="433"/>
      <c r="AB24" s="433"/>
      <c r="AC24" s="433"/>
      <c r="AD24" s="433"/>
      <c r="AE24" s="433"/>
      <c r="AF24" s="433"/>
      <c r="AG24" s="433"/>
      <c r="AH24" s="450">
        <v>-22623</v>
      </c>
      <c r="AI24" s="451"/>
      <c r="AJ24" s="451"/>
      <c r="AK24" s="451"/>
      <c r="AL24" s="451"/>
      <c r="AM24" s="451"/>
      <c r="AN24" s="452"/>
      <c r="AP24" s="94"/>
      <c r="AQ24" s="94"/>
      <c r="AR24" s="93"/>
    </row>
    <row r="25" spans="1:46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388"/>
      <c r="AA25" s="388"/>
      <c r="AB25" s="388"/>
      <c r="AC25" s="388"/>
      <c r="AD25" s="388"/>
      <c r="AE25" s="388"/>
      <c r="AF25" s="388"/>
      <c r="AG25" s="388"/>
      <c r="AH25" s="279"/>
      <c r="AI25" s="279"/>
      <c r="AJ25" s="279"/>
      <c r="AK25" s="279"/>
      <c r="AL25" s="279"/>
      <c r="AM25" s="279"/>
      <c r="AN25" s="279"/>
    </row>
    <row r="26" spans="1:46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388"/>
      <c r="AA26" s="388"/>
      <c r="AB26" s="388"/>
      <c r="AC26" s="388"/>
      <c r="AD26" s="388"/>
      <c r="AE26" s="388"/>
      <c r="AF26" s="388"/>
      <c r="AG26" s="388"/>
      <c r="AH26" s="279"/>
      <c r="AI26" s="279"/>
      <c r="AJ26" s="279"/>
      <c r="AK26" s="279"/>
      <c r="AL26" s="279"/>
      <c r="AM26" s="279"/>
      <c r="AN26" s="279"/>
    </row>
    <row r="27" spans="1:46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388"/>
      <c r="AA27" s="388"/>
      <c r="AB27" s="388"/>
      <c r="AC27" s="388"/>
      <c r="AD27" s="388"/>
      <c r="AE27" s="388"/>
      <c r="AF27" s="388"/>
      <c r="AG27" s="388"/>
      <c r="AH27" s="279"/>
      <c r="AI27" s="279"/>
      <c r="AJ27" s="279"/>
      <c r="AK27" s="279"/>
      <c r="AL27" s="279"/>
      <c r="AM27" s="279"/>
      <c r="AN27" s="279"/>
    </row>
    <row r="28" spans="1:46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71" t="s">
        <v>142</v>
      </c>
      <c r="W28" s="371"/>
      <c r="X28" s="371"/>
      <c r="Y28" s="371"/>
      <c r="Z28" s="318">
        <f>Z22+Z25+Z26+Z27+Z21</f>
        <v>5736.0000000000009</v>
      </c>
      <c r="AA28" s="318"/>
      <c r="AB28" s="318"/>
      <c r="AC28" s="318"/>
      <c r="AD28" s="318"/>
      <c r="AE28" s="318"/>
      <c r="AF28" s="318"/>
      <c r="AG28" s="318"/>
      <c r="AH28" s="318">
        <f>AH22+AH25+AH26+AH27+AH21</f>
        <v>17421.3</v>
      </c>
      <c r="AI28" s="319"/>
      <c r="AJ28" s="319"/>
      <c r="AK28" s="319"/>
      <c r="AL28" s="319"/>
      <c r="AM28" s="319"/>
      <c r="AN28" s="319"/>
    </row>
    <row r="29" spans="1:46">
      <c r="A29" s="283" t="s">
        <v>31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73"/>
      <c r="W29" s="273"/>
      <c r="X29" s="273"/>
      <c r="Y29" s="273"/>
      <c r="Z29" s="388"/>
      <c r="AA29" s="388"/>
      <c r="AB29" s="388"/>
      <c r="AC29" s="388"/>
      <c r="AD29" s="388"/>
      <c r="AE29" s="388"/>
      <c r="AF29" s="388"/>
      <c r="AG29" s="388"/>
      <c r="AH29" s="279"/>
      <c r="AI29" s="279"/>
      <c r="AJ29" s="279"/>
      <c r="AK29" s="279"/>
      <c r="AL29" s="279"/>
      <c r="AM29" s="279"/>
      <c r="AN29" s="279"/>
    </row>
    <row r="30" spans="1:46">
      <c r="A30" s="280" t="s">
        <v>132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73" t="s">
        <v>143</v>
      </c>
      <c r="W30" s="273"/>
      <c r="X30" s="273"/>
      <c r="Y30" s="273"/>
      <c r="Z30" s="433">
        <v>15820.5</v>
      </c>
      <c r="AA30" s="433"/>
      <c r="AB30" s="433"/>
      <c r="AC30" s="433"/>
      <c r="AD30" s="433"/>
      <c r="AE30" s="433"/>
      <c r="AF30" s="433"/>
      <c r="AG30" s="433"/>
      <c r="AH30" s="367">
        <v>17206.099999999999</v>
      </c>
      <c r="AI30" s="368"/>
      <c r="AJ30" s="368"/>
      <c r="AK30" s="368"/>
      <c r="AL30" s="368"/>
      <c r="AM30" s="368"/>
      <c r="AN30" s="369"/>
      <c r="AP30" s="94"/>
      <c r="AQ30" s="94"/>
      <c r="AR30" s="94"/>
      <c r="AS30" s="36"/>
      <c r="AT30" s="36"/>
    </row>
    <row r="31" spans="1:46">
      <c r="A31" s="334" t="s">
        <v>210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273" t="s">
        <v>144</v>
      </c>
      <c r="W31" s="273"/>
      <c r="X31" s="273"/>
      <c r="Y31" s="273"/>
      <c r="Z31" s="433"/>
      <c r="AA31" s="433"/>
      <c r="AB31" s="433"/>
      <c r="AC31" s="433"/>
      <c r="AD31" s="433"/>
      <c r="AE31" s="433"/>
      <c r="AF31" s="433"/>
      <c r="AG31" s="433"/>
      <c r="AH31" s="279"/>
      <c r="AI31" s="279"/>
      <c r="AJ31" s="279"/>
      <c r="AK31" s="279"/>
      <c r="AL31" s="279"/>
      <c r="AM31" s="279"/>
      <c r="AN31" s="279"/>
    </row>
    <row r="32" spans="1:46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433"/>
      <c r="AA32" s="433"/>
      <c r="AB32" s="433"/>
      <c r="AC32" s="433"/>
      <c r="AD32" s="433"/>
      <c r="AE32" s="433"/>
      <c r="AF32" s="433"/>
      <c r="AG32" s="433"/>
      <c r="AH32" s="279"/>
      <c r="AI32" s="279"/>
      <c r="AJ32" s="279"/>
      <c r="AK32" s="279"/>
      <c r="AL32" s="279"/>
      <c r="AM32" s="279"/>
      <c r="AN32" s="279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306"/>
      <c r="AA33" s="414"/>
      <c r="AB33" s="414"/>
      <c r="AC33" s="414"/>
      <c r="AD33" s="414"/>
      <c r="AE33" s="414"/>
      <c r="AF33" s="414"/>
      <c r="AG33" s="426"/>
      <c r="AH33" s="367">
        <f t="array" ref="AH33">ROUND(SUM(IF((LEFT('[1]декабрь 2020'!$A$3:$A$150,2)="34")+(LEFT('[1]декабрь 2020'!$A$3:$A$150,2)="36"),'[1]декабрь 2020'!$AV$3:$AV$150))/1000,1)</f>
        <v>0</v>
      </c>
      <c r="AI33" s="368"/>
      <c r="AJ33" s="368"/>
      <c r="AK33" s="368"/>
      <c r="AL33" s="368"/>
      <c r="AM33" s="368"/>
      <c r="AN33" s="369"/>
      <c r="AP33" s="93"/>
      <c r="AQ33" s="93"/>
    </row>
    <row r="34" spans="1:48" ht="26.25" customHeight="1">
      <c r="A34" s="280" t="s">
        <v>36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73" t="s">
        <v>147</v>
      </c>
      <c r="W34" s="273"/>
      <c r="X34" s="273"/>
      <c r="Y34" s="273"/>
      <c r="Z34" s="433">
        <v>39.9</v>
      </c>
      <c r="AA34" s="433"/>
      <c r="AB34" s="433"/>
      <c r="AC34" s="433"/>
      <c r="AD34" s="433"/>
      <c r="AE34" s="433"/>
      <c r="AF34" s="433"/>
      <c r="AG34" s="433"/>
      <c r="AH34" s="367">
        <v>20.3</v>
      </c>
      <c r="AI34" s="368"/>
      <c r="AJ34" s="368"/>
      <c r="AK34" s="368"/>
      <c r="AL34" s="368"/>
      <c r="AM34" s="368"/>
      <c r="AN34" s="369"/>
      <c r="AP34" s="93"/>
      <c r="AQ34" s="93"/>
      <c r="AR34" s="93"/>
      <c r="AS34" s="93"/>
      <c r="AT34" s="93"/>
    </row>
    <row r="35" spans="1:48" ht="15" customHeight="1">
      <c r="A35" s="334" t="s">
        <v>164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273" t="s">
        <v>148</v>
      </c>
      <c r="W35" s="273"/>
      <c r="X35" s="273"/>
      <c r="Y35" s="273"/>
      <c r="Z35" s="433"/>
      <c r="AA35" s="433"/>
      <c r="AB35" s="433"/>
      <c r="AC35" s="433"/>
      <c r="AD35" s="433"/>
      <c r="AE35" s="433"/>
      <c r="AF35" s="433"/>
      <c r="AG35" s="433"/>
      <c r="AH35" s="279"/>
      <c r="AI35" s="279"/>
      <c r="AJ35" s="279"/>
      <c r="AK35" s="279"/>
      <c r="AL35" s="279"/>
      <c r="AM35" s="279"/>
      <c r="AN35" s="279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433">
        <v>0</v>
      </c>
      <c r="AA36" s="433"/>
      <c r="AB36" s="433"/>
      <c r="AC36" s="433"/>
      <c r="AD36" s="433"/>
      <c r="AE36" s="433"/>
      <c r="AF36" s="433"/>
      <c r="AG36" s="433"/>
      <c r="AH36" s="367">
        <v>471.1</v>
      </c>
      <c r="AI36" s="368"/>
      <c r="AJ36" s="368"/>
      <c r="AK36" s="368"/>
      <c r="AL36" s="368"/>
      <c r="AM36" s="368"/>
      <c r="AN36" s="369"/>
      <c r="AP36" s="93"/>
      <c r="AQ36" s="93"/>
      <c r="AR36" s="93"/>
      <c r="AS36" s="93"/>
      <c r="AT36" s="93"/>
      <c r="AU36" s="93"/>
      <c r="AV36" s="93"/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433"/>
      <c r="AA37" s="433"/>
      <c r="AB37" s="433"/>
      <c r="AC37" s="433"/>
      <c r="AD37" s="433"/>
      <c r="AE37" s="433"/>
      <c r="AF37" s="433"/>
      <c r="AG37" s="433"/>
      <c r="AH37" s="435">
        <f t="array" ref="AH37">ROUND(SUM(IF(LEFT('[1]декабрь 2020'!$A$3:$A$150,3)="352",'[1]декабрь 2020'!$AV$3:$AV$150))/1000,1)</f>
        <v>0</v>
      </c>
      <c r="AI37" s="436"/>
      <c r="AJ37" s="436"/>
      <c r="AK37" s="436"/>
      <c r="AL37" s="436"/>
      <c r="AM37" s="436"/>
      <c r="AN37" s="437"/>
      <c r="AP37" s="93"/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433">
        <v>9138.1</v>
      </c>
      <c r="AA38" s="433"/>
      <c r="AB38" s="433"/>
      <c r="AC38" s="433"/>
      <c r="AD38" s="433"/>
      <c r="AE38" s="433"/>
      <c r="AF38" s="433"/>
      <c r="AG38" s="433"/>
      <c r="AH38" s="367">
        <v>11784.5</v>
      </c>
      <c r="AI38" s="368"/>
      <c r="AJ38" s="368"/>
      <c r="AK38" s="368"/>
      <c r="AL38" s="368"/>
      <c r="AM38" s="368"/>
      <c r="AN38" s="369"/>
      <c r="AP38" s="94"/>
      <c r="AQ38" s="94"/>
      <c r="AR38" s="94"/>
      <c r="AS38" s="93"/>
      <c r="AT38" s="93"/>
      <c r="AU38" s="93"/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434"/>
      <c r="AA39" s="434"/>
      <c r="AB39" s="434"/>
      <c r="AC39" s="434"/>
      <c r="AD39" s="434"/>
      <c r="AE39" s="434"/>
      <c r="AF39" s="434"/>
      <c r="AG39" s="434"/>
      <c r="AH39" s="367">
        <f t="array" ref="AH39">ROUND(SUM(IF((LEFT('[1]декабрь 2020'!$A$3:$A$150,2)="39"),'[1]декабрь 2020'!$AV$3:$AV$150))/1000,1)</f>
        <v>0</v>
      </c>
      <c r="AI39" s="368"/>
      <c r="AJ39" s="368"/>
      <c r="AK39" s="368"/>
      <c r="AL39" s="368"/>
      <c r="AM39" s="368"/>
      <c r="AN39" s="369"/>
      <c r="AP39" s="93"/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434">
        <v>8.4</v>
      </c>
      <c r="AA40" s="434"/>
      <c r="AB40" s="434"/>
      <c r="AC40" s="434"/>
      <c r="AD40" s="434"/>
      <c r="AE40" s="434"/>
      <c r="AF40" s="434"/>
      <c r="AG40" s="434"/>
      <c r="AH40" s="367">
        <v>8.4</v>
      </c>
      <c r="AI40" s="368"/>
      <c r="AJ40" s="368"/>
      <c r="AK40" s="368"/>
      <c r="AL40" s="368"/>
      <c r="AM40" s="368"/>
      <c r="AN40" s="369"/>
      <c r="AP40" s="93"/>
      <c r="AQ40" s="93"/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438">
        <v>25006.9</v>
      </c>
      <c r="AA41" s="438"/>
      <c r="AB41" s="438"/>
      <c r="AC41" s="438"/>
      <c r="AD41" s="438"/>
      <c r="AE41" s="438"/>
      <c r="AF41" s="438"/>
      <c r="AG41" s="438"/>
      <c r="AH41" s="318">
        <f>SUM(AH30,AH32:AN34,AH36:AN40)</f>
        <v>29490.399999999998</v>
      </c>
      <c r="AI41" s="318"/>
      <c r="AJ41" s="318"/>
      <c r="AK41" s="318"/>
      <c r="AL41" s="318"/>
      <c r="AM41" s="318"/>
      <c r="AN41" s="318"/>
    </row>
    <row r="42" spans="1:48" ht="24.75" customHeight="1">
      <c r="A42" s="283" t="s">
        <v>301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388"/>
      <c r="AA42" s="388"/>
      <c r="AB42" s="388"/>
      <c r="AC42" s="388"/>
      <c r="AD42" s="388"/>
      <c r="AE42" s="388"/>
      <c r="AF42" s="388"/>
      <c r="AG42" s="388"/>
      <c r="AH42" s="279"/>
      <c r="AI42" s="279"/>
      <c r="AJ42" s="279"/>
      <c r="AK42" s="279"/>
      <c r="AL42" s="279"/>
      <c r="AM42" s="279"/>
      <c r="AN42" s="279"/>
    </row>
    <row r="43" spans="1:48" ht="14.25" customHeight="1">
      <c r="A43" s="251" t="s">
        <v>44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371" t="s">
        <v>156</v>
      </c>
      <c r="W43" s="371"/>
      <c r="X43" s="371"/>
      <c r="Y43" s="371"/>
      <c r="Z43" s="318">
        <f>Z28+Z41+Z42</f>
        <v>30742.9</v>
      </c>
      <c r="AA43" s="318"/>
      <c r="AB43" s="318"/>
      <c r="AC43" s="318"/>
      <c r="AD43" s="318"/>
      <c r="AE43" s="318"/>
      <c r="AF43" s="318"/>
      <c r="AG43" s="318"/>
      <c r="AH43" s="318">
        <f>AH28+AH41+AH42</f>
        <v>46911.7</v>
      </c>
      <c r="AI43" s="319"/>
      <c r="AJ43" s="319"/>
      <c r="AK43" s="319"/>
      <c r="AL43" s="319"/>
      <c r="AM43" s="319"/>
      <c r="AN43" s="319"/>
      <c r="AP43" s="40"/>
    </row>
    <row r="44" spans="1:48" ht="4.5" hidden="1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7"/>
      <c r="W44" s="217"/>
      <c r="X44" s="217"/>
      <c r="Y44" s="217"/>
      <c r="Z44" s="208"/>
      <c r="AA44" s="208"/>
      <c r="AB44" s="208"/>
      <c r="AC44" s="208"/>
      <c r="AD44" s="208"/>
      <c r="AE44" s="208"/>
      <c r="AF44" s="208"/>
      <c r="AG44" s="208"/>
      <c r="AH44" s="209"/>
      <c r="AI44" s="209"/>
      <c r="AJ44" s="209"/>
      <c r="AK44" s="209"/>
      <c r="AL44" s="209"/>
      <c r="AM44" s="209"/>
      <c r="AN44" s="209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81">
        <v>1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>
        <v>2</v>
      </c>
      <c r="W46" s="281"/>
      <c r="X46" s="281"/>
      <c r="Y46" s="281"/>
      <c r="Z46" s="272">
        <v>3</v>
      </c>
      <c r="AA46" s="272"/>
      <c r="AB46" s="272"/>
      <c r="AC46" s="272"/>
      <c r="AD46" s="272"/>
      <c r="AE46" s="272"/>
      <c r="AF46" s="272"/>
      <c r="AG46" s="272"/>
      <c r="AH46" s="272">
        <v>4</v>
      </c>
      <c r="AI46" s="272"/>
      <c r="AJ46" s="272"/>
      <c r="AK46" s="272"/>
      <c r="AL46" s="272"/>
      <c r="AM46" s="272"/>
      <c r="AN46" s="272"/>
    </row>
    <row r="47" spans="1:48" ht="19.5" customHeight="1">
      <c r="A47" s="283" t="s">
        <v>46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433">
        <v>7.5</v>
      </c>
      <c r="AA48" s="433"/>
      <c r="AB48" s="433"/>
      <c r="AC48" s="433"/>
      <c r="AD48" s="433"/>
      <c r="AE48" s="433"/>
      <c r="AF48" s="433"/>
      <c r="AG48" s="433"/>
      <c r="AH48" s="367">
        <f t="array" ref="AH48">-ROUND(SUM(IF(LEFT('[1]декабрь 2020'!$A$3:$A$150,2)="40",'[1]декабрь 2020'!$AW$3:$AW$150))/1000,1)</f>
        <v>7.5</v>
      </c>
      <c r="AI48" s="368"/>
      <c r="AJ48" s="368"/>
      <c r="AK48" s="368"/>
      <c r="AL48" s="368"/>
      <c r="AM48" s="368"/>
      <c r="AN48" s="369"/>
      <c r="AP48" s="94"/>
    </row>
    <row r="49" spans="1:43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388">
        <v>3434.2</v>
      </c>
      <c r="AA49" s="388"/>
      <c r="AB49" s="388"/>
      <c r="AC49" s="388"/>
      <c r="AD49" s="388"/>
      <c r="AE49" s="388"/>
      <c r="AF49" s="388"/>
      <c r="AG49" s="388"/>
      <c r="AH49" s="435">
        <v>8207.2999999999993</v>
      </c>
      <c r="AI49" s="436"/>
      <c r="AJ49" s="436"/>
      <c r="AK49" s="436"/>
      <c r="AL49" s="436"/>
      <c r="AM49" s="436"/>
      <c r="AN49" s="437"/>
    </row>
    <row r="50" spans="1:43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388"/>
      <c r="AA50" s="388"/>
      <c r="AB50" s="388"/>
      <c r="AC50" s="388"/>
      <c r="AD50" s="388"/>
      <c r="AE50" s="388"/>
      <c r="AF50" s="388"/>
      <c r="AG50" s="388"/>
      <c r="AH50" s="435">
        <f t="array" ref="AH50">-ROUND(SUM(IF(LEFT('[1]декабрь 2020'!$A$3:$A$150,2)="43",'[1]декабрь 2020'!$AW$3:$AW$150))/1000,1)</f>
        <v>0</v>
      </c>
      <c r="AI50" s="436"/>
      <c r="AJ50" s="436"/>
      <c r="AK50" s="436"/>
      <c r="AL50" s="436"/>
      <c r="AM50" s="436"/>
      <c r="AN50" s="437"/>
    </row>
    <row r="51" spans="1:43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433">
        <v>9797.2999999999993</v>
      </c>
      <c r="AA51" s="433"/>
      <c r="AB51" s="433"/>
      <c r="AC51" s="433"/>
      <c r="AD51" s="433"/>
      <c r="AE51" s="433"/>
      <c r="AF51" s="433"/>
      <c r="AG51" s="433"/>
      <c r="AH51" s="367">
        <f>20827.9+0.1</f>
        <v>20828</v>
      </c>
      <c r="AI51" s="368"/>
      <c r="AJ51" s="368"/>
      <c r="AK51" s="368"/>
      <c r="AL51" s="368"/>
      <c r="AM51" s="368"/>
      <c r="AN51" s="369"/>
      <c r="AP51" s="36"/>
      <c r="AQ51" s="36"/>
    </row>
    <row r="52" spans="1:43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305" t="s">
        <v>117</v>
      </c>
      <c r="AA52" s="305"/>
      <c r="AB52" s="305"/>
      <c r="AC52" s="305"/>
      <c r="AD52" s="305"/>
      <c r="AE52" s="305"/>
      <c r="AF52" s="305"/>
      <c r="AG52" s="305"/>
      <c r="AH52" s="439" t="s">
        <v>118</v>
      </c>
      <c r="AI52" s="439"/>
      <c r="AJ52" s="439"/>
      <c r="AK52" s="439"/>
      <c r="AL52" s="439"/>
      <c r="AM52" s="439"/>
      <c r="AN52" s="439"/>
    </row>
    <row r="53" spans="1:43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18">
        <f>SUM(Z48:AG52)</f>
        <v>13239</v>
      </c>
      <c r="AA53" s="318"/>
      <c r="AB53" s="318"/>
      <c r="AC53" s="318"/>
      <c r="AD53" s="318"/>
      <c r="AE53" s="318"/>
      <c r="AF53" s="318"/>
      <c r="AG53" s="318"/>
      <c r="AH53" s="440">
        <f>SUM(AH48:AN52)</f>
        <v>29042.799999999999</v>
      </c>
      <c r="AI53" s="440"/>
      <c r="AJ53" s="440"/>
      <c r="AK53" s="440"/>
      <c r="AL53" s="440"/>
      <c r="AM53" s="440"/>
      <c r="AN53" s="440"/>
    </row>
    <row r="54" spans="1:43" ht="24.75" customHeight="1">
      <c r="A54" s="371" t="s">
        <v>158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283" t="s">
        <v>177</v>
      </c>
      <c r="W54" s="283"/>
      <c r="X54" s="283"/>
      <c r="Y54" s="283"/>
      <c r="Z54" s="438">
        <v>15400.9</v>
      </c>
      <c r="AA54" s="438"/>
      <c r="AB54" s="438"/>
      <c r="AC54" s="438"/>
      <c r="AD54" s="438"/>
      <c r="AE54" s="438"/>
      <c r="AF54" s="438"/>
      <c r="AG54" s="438"/>
      <c r="AH54" s="364">
        <v>15210.8</v>
      </c>
      <c r="AI54" s="365"/>
      <c r="AJ54" s="365"/>
      <c r="AK54" s="365"/>
      <c r="AL54" s="365"/>
      <c r="AM54" s="365"/>
      <c r="AN54" s="366"/>
      <c r="AP54" s="36"/>
    </row>
    <row r="55" spans="1:43">
      <c r="A55" s="283" t="s">
        <v>159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388"/>
      <c r="AA55" s="388"/>
      <c r="AB55" s="388"/>
      <c r="AC55" s="388"/>
      <c r="AD55" s="388"/>
      <c r="AE55" s="388"/>
      <c r="AF55" s="388"/>
      <c r="AG55" s="388"/>
      <c r="AH55" s="279"/>
      <c r="AI55" s="279"/>
      <c r="AJ55" s="279"/>
      <c r="AK55" s="279"/>
      <c r="AL55" s="279"/>
      <c r="AM55" s="279"/>
      <c r="AN55" s="279"/>
    </row>
    <row r="56" spans="1:43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1" t="s">
        <v>178</v>
      </c>
      <c r="W56" s="281"/>
      <c r="X56" s="281"/>
      <c r="Y56" s="281"/>
      <c r="Z56" s="388"/>
      <c r="AA56" s="388"/>
      <c r="AB56" s="388"/>
      <c r="AC56" s="388"/>
      <c r="AD56" s="388"/>
      <c r="AE56" s="388"/>
      <c r="AF56" s="388"/>
      <c r="AG56" s="388"/>
      <c r="AH56" s="279"/>
      <c r="AI56" s="279"/>
      <c r="AJ56" s="279"/>
      <c r="AK56" s="279"/>
      <c r="AL56" s="279"/>
      <c r="AM56" s="279"/>
      <c r="AN56" s="279"/>
    </row>
    <row r="57" spans="1:43">
      <c r="A57" s="280" t="s">
        <v>160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441"/>
      <c r="W57" s="441"/>
      <c r="X57" s="441"/>
      <c r="Y57" s="441"/>
      <c r="Z57" s="388"/>
      <c r="AA57" s="388"/>
      <c r="AB57" s="388"/>
      <c r="AC57" s="388"/>
      <c r="AD57" s="388"/>
      <c r="AE57" s="388"/>
      <c r="AF57" s="388"/>
      <c r="AG57" s="388"/>
      <c r="AH57" s="279"/>
      <c r="AI57" s="279"/>
      <c r="AJ57" s="279"/>
      <c r="AK57" s="279"/>
      <c r="AL57" s="279"/>
      <c r="AM57" s="279"/>
      <c r="AN57" s="279"/>
    </row>
    <row r="58" spans="1:43">
      <c r="A58" s="334" t="s">
        <v>161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281" t="s">
        <v>179</v>
      </c>
      <c r="W58" s="281"/>
      <c r="X58" s="281"/>
      <c r="Y58" s="281"/>
      <c r="Z58" s="388"/>
      <c r="AA58" s="388"/>
      <c r="AB58" s="388"/>
      <c r="AC58" s="388"/>
      <c r="AD58" s="388"/>
      <c r="AE58" s="388"/>
      <c r="AF58" s="388"/>
      <c r="AG58" s="388"/>
      <c r="AH58" s="279"/>
      <c r="AI58" s="279"/>
      <c r="AJ58" s="279"/>
      <c r="AK58" s="279"/>
      <c r="AL58" s="279"/>
      <c r="AM58" s="279"/>
      <c r="AN58" s="279"/>
    </row>
    <row r="59" spans="1:43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81" t="s">
        <v>180</v>
      </c>
      <c r="W59" s="281"/>
      <c r="X59" s="281"/>
      <c r="Y59" s="281"/>
      <c r="Z59" s="388"/>
      <c r="AA59" s="388"/>
      <c r="AB59" s="388"/>
      <c r="AC59" s="388"/>
      <c r="AD59" s="388"/>
      <c r="AE59" s="388"/>
      <c r="AF59" s="388"/>
      <c r="AG59" s="388"/>
      <c r="AH59" s="367">
        <f>16+3.2</f>
        <v>19.2</v>
      </c>
      <c r="AI59" s="368"/>
      <c r="AJ59" s="368"/>
      <c r="AK59" s="368"/>
      <c r="AL59" s="368"/>
      <c r="AM59" s="368"/>
      <c r="AN59" s="369"/>
    </row>
    <row r="60" spans="1:43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81" t="s">
        <v>181</v>
      </c>
      <c r="W60" s="281"/>
      <c r="X60" s="281"/>
      <c r="Y60" s="281"/>
      <c r="Z60" s="388">
        <v>7.8</v>
      </c>
      <c r="AA60" s="388"/>
      <c r="AB60" s="388"/>
      <c r="AC60" s="388"/>
      <c r="AD60" s="388"/>
      <c r="AE60" s="388"/>
      <c r="AF60" s="388"/>
      <c r="AG60" s="388"/>
      <c r="AH60" s="367">
        <v>65.5</v>
      </c>
      <c r="AI60" s="368"/>
      <c r="AJ60" s="368"/>
      <c r="AK60" s="368"/>
      <c r="AL60" s="368"/>
      <c r="AM60" s="368"/>
      <c r="AN60" s="369"/>
      <c r="AP60" s="36"/>
      <c r="AQ60" s="36"/>
    </row>
    <row r="61" spans="1:43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81" t="s">
        <v>182</v>
      </c>
      <c r="W61" s="281"/>
      <c r="X61" s="281"/>
      <c r="Y61" s="281"/>
      <c r="Z61" s="388"/>
      <c r="AA61" s="388"/>
      <c r="AB61" s="388"/>
      <c r="AC61" s="388"/>
      <c r="AD61" s="388"/>
      <c r="AE61" s="388"/>
      <c r="AF61" s="388"/>
      <c r="AG61" s="388"/>
      <c r="AH61" s="279"/>
      <c r="AI61" s="279"/>
      <c r="AJ61" s="279"/>
      <c r="AK61" s="279"/>
      <c r="AL61" s="279"/>
      <c r="AM61" s="279"/>
      <c r="AN61" s="279"/>
    </row>
    <row r="62" spans="1:43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81" t="s">
        <v>183</v>
      </c>
      <c r="W62" s="281"/>
      <c r="X62" s="281"/>
      <c r="Y62" s="281"/>
      <c r="Z62" s="388"/>
      <c r="AA62" s="388"/>
      <c r="AB62" s="388"/>
      <c r="AC62" s="388"/>
      <c r="AD62" s="388"/>
      <c r="AE62" s="388"/>
      <c r="AF62" s="388"/>
      <c r="AG62" s="388"/>
      <c r="AH62" s="279"/>
      <c r="AI62" s="279"/>
      <c r="AJ62" s="279"/>
      <c r="AK62" s="279"/>
      <c r="AL62" s="279"/>
      <c r="AM62" s="279"/>
      <c r="AN62" s="279"/>
    </row>
    <row r="63" spans="1:43">
      <c r="A63" s="334" t="s">
        <v>166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281" t="s">
        <v>184</v>
      </c>
      <c r="W63" s="281"/>
      <c r="X63" s="281"/>
      <c r="Y63" s="281"/>
      <c r="Z63" s="388">
        <v>32.200000000000003</v>
      </c>
      <c r="AA63" s="388"/>
      <c r="AB63" s="388"/>
      <c r="AC63" s="388"/>
      <c r="AD63" s="388"/>
      <c r="AE63" s="388"/>
      <c r="AF63" s="388"/>
      <c r="AG63" s="388"/>
      <c r="AH63" s="367">
        <v>360.9</v>
      </c>
      <c r="AI63" s="368"/>
      <c r="AJ63" s="368"/>
      <c r="AK63" s="368"/>
      <c r="AL63" s="368"/>
      <c r="AM63" s="368"/>
      <c r="AN63" s="369"/>
      <c r="AP63" s="36"/>
    </row>
    <row r="64" spans="1:43">
      <c r="A64" s="280" t="s">
        <v>167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1" t="s">
        <v>185</v>
      </c>
      <c r="W64" s="281"/>
      <c r="X64" s="281"/>
      <c r="Y64" s="281"/>
      <c r="Z64" s="388">
        <v>2063</v>
      </c>
      <c r="AA64" s="388"/>
      <c r="AB64" s="388"/>
      <c r="AC64" s="388"/>
      <c r="AD64" s="388"/>
      <c r="AE64" s="388"/>
      <c r="AF64" s="388"/>
      <c r="AG64" s="388"/>
      <c r="AH64" s="367">
        <v>2212.5</v>
      </c>
      <c r="AI64" s="368"/>
      <c r="AJ64" s="368"/>
      <c r="AK64" s="368"/>
      <c r="AL64" s="368"/>
      <c r="AM64" s="368"/>
      <c r="AN64" s="369"/>
    </row>
    <row r="65" spans="1:45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1" t="s">
        <v>186</v>
      </c>
      <c r="W65" s="281"/>
      <c r="X65" s="281"/>
      <c r="Y65" s="281"/>
      <c r="Z65" s="388">
        <v>0</v>
      </c>
      <c r="AA65" s="388"/>
      <c r="AB65" s="388"/>
      <c r="AC65" s="388"/>
      <c r="AD65" s="388"/>
      <c r="AE65" s="388"/>
      <c r="AF65" s="388"/>
      <c r="AG65" s="388"/>
      <c r="AH65" s="367">
        <f t="array" ref="AH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I65" s="368"/>
      <c r="AJ65" s="368"/>
      <c r="AK65" s="368"/>
      <c r="AL65" s="368"/>
      <c r="AM65" s="368"/>
      <c r="AN65" s="369"/>
      <c r="AP65" s="36"/>
    </row>
    <row r="66" spans="1:45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1" t="s">
        <v>187</v>
      </c>
      <c r="W66" s="281"/>
      <c r="X66" s="281"/>
      <c r="Y66" s="281"/>
      <c r="Z66" s="318">
        <f>SUM(Z56:AG60,Z62:AG65)</f>
        <v>2103</v>
      </c>
      <c r="AA66" s="318"/>
      <c r="AB66" s="318"/>
      <c r="AC66" s="318"/>
      <c r="AD66" s="318"/>
      <c r="AE66" s="318"/>
      <c r="AF66" s="318"/>
      <c r="AG66" s="318"/>
      <c r="AH66" s="440">
        <f>SUM(AH56:AN60,AH62:AN65)</f>
        <v>2658.1</v>
      </c>
      <c r="AI66" s="440"/>
      <c r="AJ66" s="440"/>
      <c r="AK66" s="440"/>
      <c r="AL66" s="440"/>
      <c r="AM66" s="440"/>
      <c r="AN66" s="440"/>
    </row>
    <row r="67" spans="1:45" ht="37.5" customHeight="1">
      <c r="A67" s="371" t="s">
        <v>169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283" t="s">
        <v>188</v>
      </c>
      <c r="W67" s="283"/>
      <c r="X67" s="283"/>
      <c r="Y67" s="283"/>
      <c r="Z67" s="388">
        <v>0</v>
      </c>
      <c r="AA67" s="388"/>
      <c r="AB67" s="388"/>
      <c r="AC67" s="388"/>
      <c r="AD67" s="388"/>
      <c r="AE67" s="388"/>
      <c r="AF67" s="388"/>
      <c r="AG67" s="388"/>
      <c r="AH67" s="367">
        <v>0</v>
      </c>
      <c r="AI67" s="368"/>
      <c r="AJ67" s="368"/>
      <c r="AK67" s="368"/>
      <c r="AL67" s="368"/>
      <c r="AM67" s="368"/>
      <c r="AN67" s="369"/>
    </row>
    <row r="68" spans="1:45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30742.9</v>
      </c>
      <c r="AA68" s="318"/>
      <c r="AB68" s="318"/>
      <c r="AC68" s="318"/>
      <c r="AD68" s="318"/>
      <c r="AE68" s="318"/>
      <c r="AF68" s="318"/>
      <c r="AG68" s="318"/>
      <c r="AH68" s="318">
        <f>SUM(AH66:AN67,AH53,AH54:AM54)</f>
        <v>46911.7</v>
      </c>
      <c r="AI68" s="319"/>
      <c r="AJ68" s="319"/>
      <c r="AK68" s="319"/>
      <c r="AL68" s="319"/>
      <c r="AM68" s="319"/>
      <c r="AN68" s="319"/>
      <c r="AP68" s="40"/>
      <c r="AR68" s="100"/>
      <c r="AS68" s="40"/>
    </row>
    <row r="69" spans="1:45" ht="15.75">
      <c r="A69" s="215"/>
      <c r="B69" s="215"/>
      <c r="C69" s="215"/>
      <c r="D69" s="215"/>
      <c r="F69" s="215"/>
      <c r="G69" s="215"/>
      <c r="H69" s="215"/>
      <c r="I69" s="215"/>
      <c r="J69" s="215"/>
      <c r="K69" s="215"/>
      <c r="L69" s="5"/>
      <c r="V69" s="215"/>
    </row>
    <row r="70" spans="1:45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5">
      <c r="A71" s="313" t="s">
        <v>309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5">
      <c r="A72" s="27"/>
      <c r="B72" s="27"/>
      <c r="C72" s="27"/>
      <c r="D72" s="27"/>
      <c r="E72" s="28"/>
      <c r="F72" s="27"/>
      <c r="G72" s="29"/>
      <c r="H72" s="220"/>
      <c r="I72" s="220"/>
      <c r="J72" s="220"/>
      <c r="K72" s="220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5" ht="15.7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5" ht="15.7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</row>
    <row r="75" spans="1:45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73" t="s">
        <v>190</v>
      </c>
      <c r="AI75" s="273"/>
      <c r="AJ75" s="273"/>
      <c r="AK75" s="273"/>
      <c r="AL75" s="273"/>
      <c r="AM75" s="273"/>
      <c r="AN75" s="273"/>
    </row>
    <row r="76" spans="1:45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5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421" t="s">
        <v>194</v>
      </c>
      <c r="W77" s="421"/>
      <c r="X77" s="421"/>
      <c r="Y77" s="421"/>
      <c r="Z77" s="272">
        <v>53590.6</v>
      </c>
      <c r="AA77" s="272"/>
      <c r="AB77" s="272"/>
      <c r="AC77" s="272"/>
      <c r="AD77" s="272"/>
      <c r="AE77" s="272"/>
      <c r="AF77" s="272"/>
      <c r="AG77" s="272"/>
      <c r="AH77" s="453">
        <v>25071.9</v>
      </c>
      <c r="AI77" s="453"/>
      <c r="AJ77" s="453"/>
      <c r="AK77" s="453"/>
      <c r="AL77" s="453"/>
      <c r="AM77" s="453"/>
      <c r="AN77" s="453"/>
      <c r="AO77" s="65"/>
    </row>
    <row r="78" spans="1:45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421" t="s">
        <v>195</v>
      </c>
      <c r="W78" s="421"/>
      <c r="X78" s="421"/>
      <c r="Y78" s="421"/>
      <c r="Z78" s="306">
        <f>14858.3+12.6+43.1+282.9</f>
        <v>15196.9</v>
      </c>
      <c r="AA78" s="414"/>
      <c r="AB78" s="414"/>
      <c r="AC78" s="414"/>
      <c r="AD78" s="414"/>
      <c r="AE78" s="414"/>
      <c r="AF78" s="414"/>
      <c r="AG78" s="426"/>
      <c r="AH78" s="453">
        <v>10463.9</v>
      </c>
      <c r="AI78" s="453"/>
      <c r="AJ78" s="453"/>
      <c r="AK78" s="453"/>
      <c r="AL78" s="453"/>
      <c r="AM78" s="453"/>
      <c r="AN78" s="453"/>
      <c r="AO78" s="65"/>
    </row>
    <row r="79" spans="1:45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421" t="s">
        <v>196</v>
      </c>
      <c r="W79" s="421"/>
      <c r="X79" s="421"/>
      <c r="Y79" s="421"/>
      <c r="Z79" s="422">
        <v>726.7</v>
      </c>
      <c r="AA79" s="423"/>
      <c r="AB79" s="423"/>
      <c r="AC79" s="423"/>
      <c r="AD79" s="423"/>
      <c r="AE79" s="423"/>
      <c r="AF79" s="423"/>
      <c r="AG79" s="424"/>
      <c r="AH79" s="453">
        <v>1160.0999999999999</v>
      </c>
      <c r="AI79" s="453"/>
      <c r="AJ79" s="453"/>
      <c r="AK79" s="453"/>
      <c r="AL79" s="453"/>
      <c r="AM79" s="453"/>
      <c r="AN79" s="453"/>
      <c r="AO79" s="65"/>
    </row>
    <row r="80" spans="1:45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425" t="s">
        <v>197</v>
      </c>
      <c r="W80" s="425"/>
      <c r="X80" s="425"/>
      <c r="Y80" s="425"/>
      <c r="Z80" s="312">
        <f>SUM(Z77:AG79)</f>
        <v>69514.2</v>
      </c>
      <c r="AA80" s="312"/>
      <c r="AB80" s="312"/>
      <c r="AC80" s="312"/>
      <c r="AD80" s="312"/>
      <c r="AE80" s="312"/>
      <c r="AF80" s="312"/>
      <c r="AG80" s="312"/>
      <c r="AH80" s="456">
        <f>AH77+AH78+AH79</f>
        <v>36695.9</v>
      </c>
      <c r="AI80" s="456"/>
      <c r="AJ80" s="456"/>
      <c r="AK80" s="456"/>
      <c r="AL80" s="456"/>
      <c r="AM80" s="456"/>
      <c r="AN80" s="456"/>
      <c r="AO80" s="66"/>
    </row>
    <row r="81" spans="1:4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421" t="s">
        <v>198</v>
      </c>
      <c r="W81" s="421"/>
      <c r="X81" s="421"/>
      <c r="Y81" s="421"/>
      <c r="Z81" s="218" t="s">
        <v>117</v>
      </c>
      <c r="AA81" s="414">
        <v>56614.9</v>
      </c>
      <c r="AB81" s="414"/>
      <c r="AC81" s="414"/>
      <c r="AD81" s="414"/>
      <c r="AE81" s="414"/>
      <c r="AF81" s="414"/>
      <c r="AG81" s="219" t="s">
        <v>218</v>
      </c>
      <c r="AH81" s="454" t="s">
        <v>310</v>
      </c>
      <c r="AI81" s="454"/>
      <c r="AJ81" s="454"/>
      <c r="AK81" s="454"/>
      <c r="AL81" s="454"/>
      <c r="AM81" s="454"/>
      <c r="AN81" s="454"/>
    </row>
    <row r="82" spans="1:4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421" t="s">
        <v>199</v>
      </c>
      <c r="W82" s="421"/>
      <c r="X82" s="421"/>
      <c r="Y82" s="421"/>
      <c r="Z82" s="218" t="s">
        <v>117</v>
      </c>
      <c r="AA82" s="414">
        <f>6793.9-0.1</f>
        <v>6793.7999999999993</v>
      </c>
      <c r="AB82" s="414"/>
      <c r="AC82" s="414"/>
      <c r="AD82" s="414"/>
      <c r="AE82" s="414"/>
      <c r="AF82" s="414"/>
      <c r="AG82" s="219" t="s">
        <v>218</v>
      </c>
      <c r="AH82" s="454" t="s">
        <v>311</v>
      </c>
      <c r="AI82" s="454"/>
      <c r="AJ82" s="454"/>
      <c r="AK82" s="454"/>
      <c r="AL82" s="454"/>
      <c r="AM82" s="454"/>
      <c r="AN82" s="454"/>
    </row>
    <row r="83" spans="1:4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218" t="s">
        <v>117</v>
      </c>
      <c r="AA83" s="430"/>
      <c r="AB83" s="430"/>
      <c r="AC83" s="430"/>
      <c r="AD83" s="430"/>
      <c r="AE83" s="430"/>
      <c r="AF83" s="430"/>
      <c r="AG83" s="219" t="s">
        <v>218</v>
      </c>
      <c r="AH83" s="455" t="s">
        <v>312</v>
      </c>
      <c r="AI83" s="455"/>
      <c r="AJ83" s="455"/>
      <c r="AK83" s="455"/>
      <c r="AL83" s="455"/>
      <c r="AM83" s="455"/>
      <c r="AN83" s="455"/>
    </row>
    <row r="84" spans="1:4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218" t="s">
        <v>117</v>
      </c>
      <c r="AA84" s="309">
        <f>SUM(AA81:AF83)</f>
        <v>63408.7</v>
      </c>
      <c r="AB84" s="309"/>
      <c r="AC84" s="309"/>
      <c r="AD84" s="309"/>
      <c r="AE84" s="309"/>
      <c r="AF84" s="309"/>
      <c r="AG84" s="219" t="s">
        <v>218</v>
      </c>
      <c r="AH84" s="223" t="s">
        <v>219</v>
      </c>
      <c r="AI84" s="458">
        <f>AH81+AH82+AH83</f>
        <v>28548.799999999999</v>
      </c>
      <c r="AJ84" s="458"/>
      <c r="AK84" s="458"/>
      <c r="AL84" s="458"/>
      <c r="AM84" s="458"/>
      <c r="AN84" s="224" t="s">
        <v>218</v>
      </c>
      <c r="AO84" s="222"/>
    </row>
    <row r="85" spans="1:4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6105.5</v>
      </c>
      <c r="AA85" s="272"/>
      <c r="AB85" s="272"/>
      <c r="AC85" s="272"/>
      <c r="AD85" s="272"/>
      <c r="AE85" s="272"/>
      <c r="AF85" s="272"/>
      <c r="AG85" s="272"/>
      <c r="AH85" s="459">
        <f>AH80-AI84</f>
        <v>8147.1000000000022</v>
      </c>
      <c r="AI85" s="459"/>
      <c r="AJ85" s="459"/>
      <c r="AK85" s="459"/>
      <c r="AL85" s="459"/>
      <c r="AM85" s="459"/>
      <c r="AN85" s="459"/>
      <c r="AO85" s="65"/>
    </row>
    <row r="86" spans="1:4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218" t="s">
        <v>117</v>
      </c>
      <c r="AA86" s="254"/>
      <c r="AB86" s="254"/>
      <c r="AC86" s="254"/>
      <c r="AD86" s="254"/>
      <c r="AE86" s="254"/>
      <c r="AF86" s="254"/>
      <c r="AG86" s="219" t="s">
        <v>218</v>
      </c>
      <c r="AH86" s="457" t="s">
        <v>300</v>
      </c>
      <c r="AI86" s="457"/>
      <c r="AJ86" s="457"/>
      <c r="AK86" s="457"/>
      <c r="AL86" s="457"/>
      <c r="AM86" s="457"/>
      <c r="AN86" s="457"/>
      <c r="AO86" s="65"/>
    </row>
    <row r="87" spans="1:4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6105.5</v>
      </c>
      <c r="AA87" s="300"/>
      <c r="AB87" s="300"/>
      <c r="AC87" s="300"/>
      <c r="AD87" s="300"/>
      <c r="AE87" s="300"/>
      <c r="AF87" s="300"/>
      <c r="AG87" s="301"/>
      <c r="AH87" s="456">
        <f>AH85</f>
        <v>8147.1000000000022</v>
      </c>
      <c r="AI87" s="456"/>
      <c r="AJ87" s="456"/>
      <c r="AK87" s="456"/>
      <c r="AL87" s="456"/>
      <c r="AM87" s="456"/>
      <c r="AN87" s="456"/>
      <c r="AO87" s="65"/>
    </row>
    <row r="89" spans="1:41">
      <c r="B89" s="247" t="s">
        <v>91</v>
      </c>
      <c r="C89" s="247"/>
      <c r="D89" s="247"/>
      <c r="E89" s="247"/>
      <c r="F89" s="247"/>
      <c r="G89" s="247"/>
      <c r="H89" s="247"/>
      <c r="I89" s="247"/>
      <c r="Q89" s="221"/>
      <c r="R89" s="221"/>
      <c r="S89" s="221"/>
      <c r="T89" s="221"/>
      <c r="U89" s="246"/>
      <c r="V89" s="246"/>
      <c r="W89" s="246"/>
      <c r="X89" s="246"/>
      <c r="AH89" s="445" t="s">
        <v>227</v>
      </c>
      <c r="AI89" s="445"/>
      <c r="AJ89" s="445"/>
      <c r="AK89" s="445"/>
      <c r="AL89" s="445"/>
      <c r="AM89" s="445"/>
    </row>
    <row r="90" spans="1:41">
      <c r="Q90" s="221"/>
      <c r="R90" s="221"/>
      <c r="S90" s="221"/>
      <c r="T90" s="221"/>
      <c r="U90" s="294" t="s">
        <v>94</v>
      </c>
      <c r="V90" s="294"/>
      <c r="W90" s="294"/>
      <c r="X90" s="294"/>
      <c r="AH90" s="446" t="s">
        <v>93</v>
      </c>
      <c r="AI90" s="446"/>
      <c r="AJ90" s="446"/>
      <c r="AK90" s="446"/>
      <c r="AL90" s="446"/>
      <c r="AM90" s="446"/>
    </row>
    <row r="91" spans="1:41">
      <c r="Q91" s="221"/>
      <c r="R91" s="221"/>
      <c r="S91" s="221"/>
      <c r="T91" s="221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221"/>
      <c r="R92" s="221"/>
      <c r="S92" s="221"/>
      <c r="T92" s="221"/>
      <c r="U92" s="246"/>
      <c r="V92" s="246"/>
      <c r="W92" s="246"/>
      <c r="X92" s="246"/>
      <c r="AH92" s="445" t="s">
        <v>228</v>
      </c>
      <c r="AI92" s="445"/>
      <c r="AJ92" s="445"/>
      <c r="AK92" s="445"/>
      <c r="AL92" s="445"/>
      <c r="AM92" s="445"/>
    </row>
    <row r="93" spans="1:41">
      <c r="Q93" s="221"/>
      <c r="R93" s="221"/>
      <c r="S93" s="221"/>
      <c r="T93" s="221"/>
      <c r="U93" s="294" t="s">
        <v>94</v>
      </c>
      <c r="V93" s="294"/>
      <c r="W93" s="294"/>
      <c r="X93" s="294"/>
      <c r="AH93" s="446" t="s">
        <v>93</v>
      </c>
      <c r="AI93" s="446"/>
      <c r="AJ93" s="446"/>
      <c r="AK93" s="446"/>
      <c r="AL93" s="446"/>
      <c r="AM93" s="446"/>
    </row>
  </sheetData>
  <mergeCells count="299"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  <mergeCell ref="A82:U82"/>
    <mergeCell ref="V82:Y82"/>
    <mergeCell ref="AA82:AF82"/>
    <mergeCell ref="AH82:AN82"/>
    <mergeCell ref="A83:U83"/>
    <mergeCell ref="V83:Y83"/>
    <mergeCell ref="AA83:AF83"/>
    <mergeCell ref="AH83:AN83"/>
    <mergeCell ref="A80:U80"/>
    <mergeCell ref="V80:Y80"/>
    <mergeCell ref="Z80:AG80"/>
    <mergeCell ref="AH80:AN80"/>
    <mergeCell ref="A81:U81"/>
    <mergeCell ref="V81:Y81"/>
    <mergeCell ref="AA81:AF81"/>
    <mergeCell ref="AH81:AN81"/>
    <mergeCell ref="A78:U78"/>
    <mergeCell ref="V78:Y78"/>
    <mergeCell ref="Z78:AG78"/>
    <mergeCell ref="AH78:AN78"/>
    <mergeCell ref="A79:U79"/>
    <mergeCell ref="V79:Y79"/>
    <mergeCell ref="Z79:AG79"/>
    <mergeCell ref="AH79:AN79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</mergeCells>
  <pageMargins left="0.62992125984251968" right="0.19685039370078741" top="0.27559055118110237" bottom="0.35433070866141736" header="0.31496062992125984" footer="0.31496062992125984"/>
  <pageSetup paperSize="9" orientation="portrait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V93"/>
  <sheetViews>
    <sheetView tabSelected="1" topLeftCell="A49" workbookViewId="0">
      <selection activeCell="A82" sqref="A82:U82"/>
    </sheetView>
  </sheetViews>
  <sheetFormatPr defaultRowHeight="12.75"/>
  <cols>
    <col min="1" max="3" width="2.28515625" style="226" customWidth="1"/>
    <col min="4" max="4" width="3.140625" style="226" customWidth="1"/>
    <col min="5" max="5" width="2.28515625" style="226" customWidth="1"/>
    <col min="6" max="6" width="2.7109375" style="226" customWidth="1"/>
    <col min="7" max="20" width="2.28515625" style="226" customWidth="1"/>
    <col min="21" max="21" width="1.140625" style="226" customWidth="1"/>
    <col min="22" max="22" width="2.42578125" style="226" customWidth="1"/>
    <col min="23" max="24" width="2.28515625" style="226" customWidth="1"/>
    <col min="25" max="25" width="1.28515625" style="226" customWidth="1"/>
    <col min="26" max="29" width="2.28515625" style="226" customWidth="1"/>
    <col min="30" max="31" width="2.28515625" style="235" customWidth="1"/>
    <col min="32" max="32" width="0.5703125" style="235" customWidth="1"/>
    <col min="33" max="34" width="2.28515625" style="235" customWidth="1"/>
    <col min="35" max="35" width="2.5703125" style="235" customWidth="1"/>
    <col min="36" max="36" width="2.85546875" style="235" customWidth="1"/>
    <col min="37" max="37" width="2.28515625" style="235" hidden="1" customWidth="1"/>
    <col min="38" max="38" width="2.7109375" style="235" customWidth="1"/>
    <col min="39" max="39" width="2" style="235" customWidth="1"/>
    <col min="40" max="40" width="9.85546875" style="235" customWidth="1"/>
    <col min="41" max="41" width="9.140625" style="235"/>
    <col min="42" max="42" width="13.28515625" style="235" customWidth="1"/>
    <col min="43" max="43" width="9.140625" style="235"/>
    <col min="44" max="44" width="11.7109375" style="235" customWidth="1"/>
    <col min="45" max="16384" width="9.140625" style="235"/>
  </cols>
  <sheetData>
    <row r="1" spans="1:40">
      <c r="W1" s="292" t="s">
        <v>208</v>
      </c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</row>
    <row r="3" spans="1:40" ht="15.75">
      <c r="A3" s="242" t="s">
        <v>0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</row>
    <row r="4" spans="1:40" ht="15.75">
      <c r="A4" s="242" t="s">
        <v>124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</row>
    <row r="5" spans="1:40" ht="15.75">
      <c r="A5" s="225"/>
      <c r="B5" s="225"/>
      <c r="C5" s="225"/>
      <c r="D5" s="225"/>
      <c r="E5" s="234"/>
      <c r="G5" s="225"/>
      <c r="H5" s="225"/>
      <c r="L5" s="5"/>
      <c r="AA5" s="234"/>
      <c r="AB5" s="234"/>
      <c r="AC5" s="234"/>
      <c r="AD5" s="234"/>
      <c r="AE5" s="234"/>
      <c r="AF5" s="234"/>
      <c r="AG5" s="234"/>
      <c r="AI5" s="256" t="s">
        <v>1</v>
      </c>
      <c r="AJ5" s="256"/>
      <c r="AK5" s="256"/>
      <c r="AL5" s="256"/>
      <c r="AM5" s="256"/>
      <c r="AN5" s="256"/>
    </row>
    <row r="6" spans="1:40">
      <c r="A6" s="241" t="s">
        <v>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26"/>
      <c r="AI6" s="257" t="s">
        <v>290</v>
      </c>
      <c r="AJ6" s="258"/>
      <c r="AK6" s="259"/>
      <c r="AL6" s="232" t="s">
        <v>77</v>
      </c>
      <c r="AM6" s="284" t="s">
        <v>77</v>
      </c>
      <c r="AN6" s="284"/>
    </row>
    <row r="7" spans="1:40" ht="33" customHeight="1">
      <c r="A7" s="285" t="s">
        <v>3</v>
      </c>
      <c r="B7" s="285"/>
      <c r="C7" s="285"/>
      <c r="D7" s="285"/>
      <c r="E7" s="285"/>
      <c r="F7" s="285"/>
      <c r="G7" s="397" t="s">
        <v>220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233"/>
      <c r="AB7" s="247" t="s">
        <v>4</v>
      </c>
      <c r="AC7" s="247"/>
      <c r="AD7" s="247"/>
      <c r="AE7" s="247"/>
      <c r="AF7" s="247"/>
      <c r="AG7" s="247"/>
      <c r="AI7" s="398" t="s">
        <v>230</v>
      </c>
      <c r="AJ7" s="398"/>
      <c r="AK7" s="398"/>
      <c r="AL7" s="398"/>
      <c r="AM7" s="398"/>
      <c r="AN7" s="398"/>
    </row>
    <row r="8" spans="1:40" ht="29.25" customHeight="1">
      <c r="A8" s="285" t="s">
        <v>5</v>
      </c>
      <c r="B8" s="285"/>
      <c r="C8" s="285"/>
      <c r="D8" s="285"/>
      <c r="E8" s="397" t="s">
        <v>221</v>
      </c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234"/>
      <c r="AB8" s="247" t="s">
        <v>6</v>
      </c>
      <c r="AC8" s="247"/>
      <c r="AD8" s="247"/>
      <c r="AE8" s="247"/>
      <c r="AF8" s="247"/>
      <c r="AG8" s="247"/>
      <c r="AI8" s="394" t="s">
        <v>224</v>
      </c>
      <c r="AJ8" s="395"/>
      <c r="AK8" s="395"/>
      <c r="AL8" s="395"/>
      <c r="AM8" s="395"/>
      <c r="AN8" s="396"/>
    </row>
    <row r="9" spans="1:40" ht="15.75">
      <c r="A9" s="240" t="s">
        <v>76</v>
      </c>
      <c r="B9" s="240"/>
      <c r="C9" s="240"/>
      <c r="D9" s="240"/>
      <c r="E9" s="240"/>
      <c r="F9" s="240"/>
      <c r="G9" s="240"/>
      <c r="H9" s="240"/>
      <c r="I9" s="240"/>
      <c r="J9" s="392" t="s">
        <v>222</v>
      </c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225"/>
      <c r="AB9" s="393" t="s">
        <v>7</v>
      </c>
      <c r="AC9" s="393"/>
      <c r="AD9" s="393"/>
      <c r="AE9" s="393"/>
      <c r="AF9" s="393"/>
      <c r="AG9" s="393"/>
      <c r="AI9" s="394" t="s">
        <v>225</v>
      </c>
      <c r="AJ9" s="395"/>
      <c r="AK9" s="395"/>
      <c r="AL9" s="395"/>
      <c r="AM9" s="395"/>
      <c r="AN9" s="396"/>
    </row>
    <row r="10" spans="1:40" ht="29.25" customHeight="1">
      <c r="A10" s="285" t="s">
        <v>10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392" t="s">
        <v>223</v>
      </c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233"/>
      <c r="AB10" s="247" t="s">
        <v>11</v>
      </c>
      <c r="AC10" s="247"/>
      <c r="AD10" s="247"/>
      <c r="AE10" s="247"/>
      <c r="AF10" s="247"/>
      <c r="AG10" s="247"/>
      <c r="AI10" s="394" t="s">
        <v>226</v>
      </c>
      <c r="AJ10" s="395"/>
      <c r="AK10" s="395"/>
      <c r="AL10" s="395"/>
      <c r="AM10" s="395"/>
      <c r="AN10" s="396"/>
    </row>
    <row r="11" spans="1:40" ht="15.75">
      <c r="A11" s="285" t="s">
        <v>206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392" t="s">
        <v>316</v>
      </c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233"/>
      <c r="AC11" s="227"/>
      <c r="AD11" s="227"/>
      <c r="AE11" s="227"/>
      <c r="AF11" s="227"/>
    </row>
    <row r="12" spans="1:40">
      <c r="A12" s="285" t="s">
        <v>205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33"/>
      <c r="AC12" s="12"/>
      <c r="AD12" s="12"/>
      <c r="AE12" s="226"/>
      <c r="AF12" s="226"/>
    </row>
    <row r="13" spans="1:40">
      <c r="A13" s="247" t="s">
        <v>130</v>
      </c>
      <c r="B13" s="247"/>
      <c r="C13" s="247"/>
      <c r="D13" s="247"/>
      <c r="E13" s="247"/>
      <c r="F13" s="247"/>
      <c r="AD13" s="226"/>
      <c r="AE13" s="226"/>
      <c r="AF13" s="226"/>
    </row>
    <row r="14" spans="1:40" ht="15.75">
      <c r="C14" s="12"/>
      <c r="D14" s="12"/>
      <c r="E14" s="12"/>
      <c r="F14" s="12"/>
      <c r="L14" s="5"/>
    </row>
    <row r="15" spans="1:40">
      <c r="I15" s="189" t="s">
        <v>303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256" t="s">
        <v>79</v>
      </c>
      <c r="AA15" s="256"/>
      <c r="AB15" s="256"/>
      <c r="AC15" s="256"/>
      <c r="AD15" s="256"/>
      <c r="AE15" s="256"/>
      <c r="AF15" s="256"/>
      <c r="AG15" s="288"/>
      <c r="AH15" s="262">
        <v>1801006</v>
      </c>
      <c r="AI15" s="263"/>
      <c r="AJ15" s="263"/>
      <c r="AK15" s="263"/>
      <c r="AL15" s="263"/>
      <c r="AM15" s="263"/>
      <c r="AN15" s="264"/>
    </row>
    <row r="16" spans="1:40">
      <c r="A16" s="289" t="s">
        <v>314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</row>
    <row r="17" spans="1:46" ht="15.75">
      <c r="G17" s="15"/>
      <c r="H17" s="15"/>
      <c r="L17" s="5"/>
    </row>
    <row r="18" spans="1:46">
      <c r="A18" s="273" t="s">
        <v>18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 t="s">
        <v>170</v>
      </c>
      <c r="W18" s="431"/>
      <c r="X18" s="431"/>
      <c r="Y18" s="431"/>
      <c r="Z18" s="273" t="s">
        <v>20</v>
      </c>
      <c r="AA18" s="273"/>
      <c r="AB18" s="273"/>
      <c r="AC18" s="273"/>
      <c r="AD18" s="273"/>
      <c r="AE18" s="273"/>
      <c r="AF18" s="273"/>
      <c r="AG18" s="273"/>
      <c r="AH18" s="273" t="s">
        <v>78</v>
      </c>
      <c r="AI18" s="273"/>
      <c r="AJ18" s="273"/>
      <c r="AK18" s="273"/>
      <c r="AL18" s="273"/>
      <c r="AM18" s="273"/>
      <c r="AN18" s="273"/>
    </row>
    <row r="19" spans="1:46">
      <c r="A19" s="281">
        <v>1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 t="s">
        <v>95</v>
      </c>
      <c r="W19" s="281"/>
      <c r="X19" s="281"/>
      <c r="Y19" s="281"/>
      <c r="Z19" s="284">
        <v>3</v>
      </c>
      <c r="AA19" s="284"/>
      <c r="AB19" s="284"/>
      <c r="AC19" s="284"/>
      <c r="AD19" s="284"/>
      <c r="AE19" s="284"/>
      <c r="AF19" s="284"/>
      <c r="AG19" s="284"/>
      <c r="AH19" s="284">
        <v>4</v>
      </c>
      <c r="AI19" s="284"/>
      <c r="AJ19" s="284"/>
      <c r="AK19" s="284"/>
      <c r="AL19" s="284"/>
      <c r="AM19" s="284"/>
      <c r="AN19" s="284"/>
    </row>
    <row r="20" spans="1:46">
      <c r="A20" s="283" t="s">
        <v>21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73"/>
      <c r="W20" s="273"/>
      <c r="X20" s="273"/>
      <c r="Y20" s="273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</row>
    <row r="21" spans="1:46">
      <c r="A21" s="280" t="s">
        <v>126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73" t="s">
        <v>135</v>
      </c>
      <c r="W21" s="273"/>
      <c r="X21" s="273"/>
      <c r="Y21" s="273"/>
      <c r="Z21" s="433">
        <v>0.2</v>
      </c>
      <c r="AA21" s="433">
        <v>127.2</v>
      </c>
      <c r="AB21" s="433">
        <v>127.2</v>
      </c>
      <c r="AC21" s="433">
        <v>127.2</v>
      </c>
      <c r="AD21" s="433">
        <v>127.2</v>
      </c>
      <c r="AE21" s="433">
        <v>127.2</v>
      </c>
      <c r="AF21" s="433">
        <v>127.2</v>
      </c>
      <c r="AG21" s="433">
        <v>127.2</v>
      </c>
      <c r="AH21" s="367">
        <v>41.1</v>
      </c>
      <c r="AI21" s="368"/>
      <c r="AJ21" s="368"/>
      <c r="AK21" s="368"/>
      <c r="AL21" s="368"/>
      <c r="AM21" s="368"/>
      <c r="AN21" s="369"/>
      <c r="AP21" s="93"/>
    </row>
    <row r="22" spans="1:46">
      <c r="A22" s="280" t="s">
        <v>23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73" t="s">
        <v>136</v>
      </c>
      <c r="W22" s="273"/>
      <c r="X22" s="273"/>
      <c r="Y22" s="273"/>
      <c r="Z22" s="388">
        <f>Z23+Z24</f>
        <v>5735.8000000000011</v>
      </c>
      <c r="AA22" s="388"/>
      <c r="AB22" s="388"/>
      <c r="AC22" s="388"/>
      <c r="AD22" s="388"/>
      <c r="AE22" s="388"/>
      <c r="AF22" s="388"/>
      <c r="AG22" s="388"/>
      <c r="AH22" s="434">
        <f>AH23+AH24</f>
        <v>17207.899999999998</v>
      </c>
      <c r="AI22" s="279"/>
      <c r="AJ22" s="279"/>
      <c r="AK22" s="279"/>
      <c r="AL22" s="279"/>
      <c r="AM22" s="279"/>
      <c r="AN22" s="279"/>
    </row>
    <row r="23" spans="1:46">
      <c r="A23" s="334" t="s">
        <v>24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273" t="s">
        <v>137</v>
      </c>
      <c r="W23" s="273"/>
      <c r="X23" s="273"/>
      <c r="Y23" s="273"/>
      <c r="Z23" s="388">
        <v>15989.7</v>
      </c>
      <c r="AA23" s="388">
        <v>14034.5</v>
      </c>
      <c r="AB23" s="388">
        <v>14034.5</v>
      </c>
      <c r="AC23" s="388">
        <v>14034.5</v>
      </c>
      <c r="AD23" s="388">
        <v>14034.5</v>
      </c>
      <c r="AE23" s="388">
        <v>14034.5</v>
      </c>
      <c r="AF23" s="388">
        <v>14034.5</v>
      </c>
      <c r="AG23" s="388">
        <v>14034.5</v>
      </c>
      <c r="AH23" s="432">
        <v>40243.599999999999</v>
      </c>
      <c r="AI23" s="432"/>
      <c r="AJ23" s="432"/>
      <c r="AK23" s="432"/>
      <c r="AL23" s="432"/>
      <c r="AM23" s="432"/>
      <c r="AN23" s="432"/>
      <c r="AP23" s="93"/>
      <c r="AQ23" s="93"/>
    </row>
    <row r="24" spans="1:46">
      <c r="A24" s="334" t="s">
        <v>211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273" t="s">
        <v>138</v>
      </c>
      <c r="W24" s="273"/>
      <c r="X24" s="273"/>
      <c r="Y24" s="273"/>
      <c r="Z24" s="433" t="s">
        <v>295</v>
      </c>
      <c r="AA24" s="433"/>
      <c r="AB24" s="433"/>
      <c r="AC24" s="433"/>
      <c r="AD24" s="433"/>
      <c r="AE24" s="433"/>
      <c r="AF24" s="433"/>
      <c r="AG24" s="433"/>
      <c r="AH24" s="450">
        <v>-23035.7</v>
      </c>
      <c r="AI24" s="451"/>
      <c r="AJ24" s="451"/>
      <c r="AK24" s="451"/>
      <c r="AL24" s="451"/>
      <c r="AM24" s="451"/>
      <c r="AN24" s="452"/>
      <c r="AP24" s="94"/>
      <c r="AQ24" s="94"/>
      <c r="AR24" s="93"/>
    </row>
    <row r="25" spans="1:46">
      <c r="A25" s="280" t="s">
        <v>131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73" t="s">
        <v>139</v>
      </c>
      <c r="W25" s="273"/>
      <c r="X25" s="273"/>
      <c r="Y25" s="273"/>
      <c r="Z25" s="388"/>
      <c r="AA25" s="388"/>
      <c r="AB25" s="388"/>
      <c r="AC25" s="388"/>
      <c r="AD25" s="388"/>
      <c r="AE25" s="388"/>
      <c r="AF25" s="388"/>
      <c r="AG25" s="388"/>
      <c r="AH25" s="279"/>
      <c r="AI25" s="279"/>
      <c r="AJ25" s="279"/>
      <c r="AK25" s="279"/>
      <c r="AL25" s="279"/>
      <c r="AM25" s="279"/>
      <c r="AN25" s="279"/>
    </row>
    <row r="26" spans="1:46">
      <c r="A26" s="280" t="s">
        <v>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73" t="s">
        <v>140</v>
      </c>
      <c r="W26" s="273"/>
      <c r="X26" s="273"/>
      <c r="Y26" s="273"/>
      <c r="Z26" s="388"/>
      <c r="AA26" s="388"/>
      <c r="AB26" s="388"/>
      <c r="AC26" s="388"/>
      <c r="AD26" s="388"/>
      <c r="AE26" s="388"/>
      <c r="AF26" s="388"/>
      <c r="AG26" s="388"/>
      <c r="AH26" s="279"/>
      <c r="AI26" s="279"/>
      <c r="AJ26" s="279"/>
      <c r="AK26" s="279"/>
      <c r="AL26" s="279"/>
      <c r="AM26" s="279"/>
      <c r="AN26" s="279"/>
    </row>
    <row r="27" spans="1:46">
      <c r="A27" s="280" t="s">
        <v>29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73" t="s">
        <v>141</v>
      </c>
      <c r="W27" s="273"/>
      <c r="X27" s="273"/>
      <c r="Y27" s="273"/>
      <c r="Z27" s="388"/>
      <c r="AA27" s="388"/>
      <c r="AB27" s="388"/>
      <c r="AC27" s="388"/>
      <c r="AD27" s="388"/>
      <c r="AE27" s="388"/>
      <c r="AF27" s="388"/>
      <c r="AG27" s="388"/>
      <c r="AH27" s="279"/>
      <c r="AI27" s="279"/>
      <c r="AJ27" s="279"/>
      <c r="AK27" s="279"/>
      <c r="AL27" s="279"/>
      <c r="AM27" s="279"/>
      <c r="AN27" s="279"/>
    </row>
    <row r="28" spans="1:46">
      <c r="A28" s="282" t="s">
        <v>30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371" t="s">
        <v>142</v>
      </c>
      <c r="W28" s="371"/>
      <c r="X28" s="371"/>
      <c r="Y28" s="371"/>
      <c r="Z28" s="318">
        <f>Z22+Z25+Z26+Z27+Z21</f>
        <v>5736.0000000000009</v>
      </c>
      <c r="AA28" s="318"/>
      <c r="AB28" s="318"/>
      <c r="AC28" s="318"/>
      <c r="AD28" s="318"/>
      <c r="AE28" s="318"/>
      <c r="AF28" s="318"/>
      <c r="AG28" s="318"/>
      <c r="AH28" s="318">
        <f>AH22+AH25+AH26+AH27+AH21</f>
        <v>17248.999999999996</v>
      </c>
      <c r="AI28" s="319"/>
      <c r="AJ28" s="319"/>
      <c r="AK28" s="319"/>
      <c r="AL28" s="319"/>
      <c r="AM28" s="319"/>
      <c r="AN28" s="319"/>
    </row>
    <row r="29" spans="1:46">
      <c r="A29" s="283" t="s">
        <v>31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73"/>
      <c r="W29" s="273"/>
      <c r="X29" s="273"/>
      <c r="Y29" s="273"/>
      <c r="Z29" s="388"/>
      <c r="AA29" s="388"/>
      <c r="AB29" s="388"/>
      <c r="AC29" s="388"/>
      <c r="AD29" s="388"/>
      <c r="AE29" s="388"/>
      <c r="AF29" s="388"/>
      <c r="AG29" s="388"/>
      <c r="AH29" s="279"/>
      <c r="AI29" s="279"/>
      <c r="AJ29" s="279"/>
      <c r="AK29" s="279"/>
      <c r="AL29" s="279"/>
      <c r="AM29" s="279"/>
      <c r="AN29" s="279"/>
    </row>
    <row r="30" spans="1:46">
      <c r="A30" s="280" t="s">
        <v>132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73" t="s">
        <v>143</v>
      </c>
      <c r="W30" s="273"/>
      <c r="X30" s="273"/>
      <c r="Y30" s="273"/>
      <c r="Z30" s="433">
        <v>15820.5</v>
      </c>
      <c r="AA30" s="433"/>
      <c r="AB30" s="433"/>
      <c r="AC30" s="433"/>
      <c r="AD30" s="433"/>
      <c r="AE30" s="433"/>
      <c r="AF30" s="433"/>
      <c r="AG30" s="433"/>
      <c r="AH30" s="367">
        <v>30416</v>
      </c>
      <c r="AI30" s="368"/>
      <c r="AJ30" s="368"/>
      <c r="AK30" s="368"/>
      <c r="AL30" s="368"/>
      <c r="AM30" s="368"/>
      <c r="AN30" s="369"/>
      <c r="AP30" s="94"/>
      <c r="AQ30" s="94"/>
      <c r="AR30" s="94"/>
      <c r="AS30" s="36"/>
      <c r="AT30" s="36"/>
    </row>
    <row r="31" spans="1:46">
      <c r="A31" s="334" t="s">
        <v>210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273" t="s">
        <v>144</v>
      </c>
      <c r="W31" s="273"/>
      <c r="X31" s="273"/>
      <c r="Y31" s="273"/>
      <c r="Z31" s="433"/>
      <c r="AA31" s="433"/>
      <c r="AB31" s="433"/>
      <c r="AC31" s="433"/>
      <c r="AD31" s="433"/>
      <c r="AE31" s="433"/>
      <c r="AF31" s="433"/>
      <c r="AG31" s="433"/>
      <c r="AH31" s="279"/>
      <c r="AI31" s="279"/>
      <c r="AJ31" s="279"/>
      <c r="AK31" s="279"/>
      <c r="AL31" s="279"/>
      <c r="AM31" s="279"/>
      <c r="AN31" s="279"/>
    </row>
    <row r="32" spans="1:46">
      <c r="A32" s="280" t="s">
        <v>33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73" t="s">
        <v>145</v>
      </c>
      <c r="W32" s="273"/>
      <c r="X32" s="273"/>
      <c r="Y32" s="273"/>
      <c r="Z32" s="433"/>
      <c r="AA32" s="433"/>
      <c r="AB32" s="433"/>
      <c r="AC32" s="433"/>
      <c r="AD32" s="433"/>
      <c r="AE32" s="433"/>
      <c r="AF32" s="433"/>
      <c r="AG32" s="433"/>
      <c r="AH32" s="279"/>
      <c r="AI32" s="279"/>
      <c r="AJ32" s="279"/>
      <c r="AK32" s="279"/>
      <c r="AL32" s="279"/>
      <c r="AM32" s="279"/>
      <c r="AN32" s="279"/>
    </row>
    <row r="33" spans="1:48" ht="15" customHeight="1">
      <c r="A33" s="280" t="s">
        <v>133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73" t="s">
        <v>146</v>
      </c>
      <c r="W33" s="273"/>
      <c r="X33" s="273"/>
      <c r="Y33" s="273"/>
      <c r="Z33" s="306"/>
      <c r="AA33" s="414"/>
      <c r="AB33" s="414"/>
      <c r="AC33" s="414"/>
      <c r="AD33" s="414"/>
      <c r="AE33" s="414"/>
      <c r="AF33" s="414"/>
      <c r="AG33" s="426"/>
      <c r="AH33" s="367">
        <f t="array" ref="AH33">ROUND(SUM(IF((LEFT('[1]декабрь 2020'!$A$3:$A$150,2)="34")+(LEFT('[1]декабрь 2020'!$A$3:$A$150,2)="36"),'[1]декабрь 2020'!$AV$3:$AV$150))/1000,1)</f>
        <v>0</v>
      </c>
      <c r="AI33" s="368"/>
      <c r="AJ33" s="368"/>
      <c r="AK33" s="368"/>
      <c r="AL33" s="368"/>
      <c r="AM33" s="368"/>
      <c r="AN33" s="369"/>
      <c r="AP33" s="93"/>
      <c r="AQ33" s="93"/>
    </row>
    <row r="34" spans="1:48" ht="26.25" customHeight="1">
      <c r="A34" s="280" t="s">
        <v>36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73" t="s">
        <v>147</v>
      </c>
      <c r="W34" s="273"/>
      <c r="X34" s="273"/>
      <c r="Y34" s="273"/>
      <c r="Z34" s="433">
        <v>39.9</v>
      </c>
      <c r="AA34" s="433"/>
      <c r="AB34" s="433"/>
      <c r="AC34" s="433"/>
      <c r="AD34" s="433"/>
      <c r="AE34" s="433"/>
      <c r="AF34" s="433"/>
      <c r="AG34" s="433"/>
      <c r="AH34" s="367">
        <v>6.6</v>
      </c>
      <c r="AI34" s="368"/>
      <c r="AJ34" s="368"/>
      <c r="AK34" s="368"/>
      <c r="AL34" s="368"/>
      <c r="AM34" s="368"/>
      <c r="AN34" s="369"/>
      <c r="AP34" s="93"/>
      <c r="AQ34" s="93"/>
      <c r="AR34" s="93"/>
      <c r="AS34" s="93"/>
      <c r="AT34" s="93"/>
    </row>
    <row r="35" spans="1:48" ht="15" customHeight="1">
      <c r="A35" s="334" t="s">
        <v>164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273" t="s">
        <v>148</v>
      </c>
      <c r="W35" s="273"/>
      <c r="X35" s="273"/>
      <c r="Y35" s="273"/>
      <c r="Z35" s="433"/>
      <c r="AA35" s="433"/>
      <c r="AB35" s="433"/>
      <c r="AC35" s="433"/>
      <c r="AD35" s="433"/>
      <c r="AE35" s="433"/>
      <c r="AF35" s="433"/>
      <c r="AG35" s="433"/>
      <c r="AH35" s="279"/>
      <c r="AI35" s="279"/>
      <c r="AJ35" s="279"/>
      <c r="AK35" s="279"/>
      <c r="AL35" s="279"/>
      <c r="AM35" s="279"/>
      <c r="AN35" s="279"/>
    </row>
    <row r="36" spans="1:48" ht="15" customHeight="1">
      <c r="A36" s="280" t="s">
        <v>37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73" t="s">
        <v>149</v>
      </c>
      <c r="W36" s="273"/>
      <c r="X36" s="273"/>
      <c r="Y36" s="273"/>
      <c r="Z36" s="433">
        <v>0</v>
      </c>
      <c r="AA36" s="433"/>
      <c r="AB36" s="433"/>
      <c r="AC36" s="433"/>
      <c r="AD36" s="433"/>
      <c r="AE36" s="433"/>
      <c r="AF36" s="433"/>
      <c r="AG36" s="433"/>
      <c r="AH36" s="367">
        <v>156.19999999999999</v>
      </c>
      <c r="AI36" s="368"/>
      <c r="AJ36" s="368"/>
      <c r="AK36" s="368"/>
      <c r="AL36" s="368"/>
      <c r="AM36" s="368"/>
      <c r="AN36" s="369"/>
      <c r="AP36" s="93"/>
      <c r="AQ36" s="93"/>
      <c r="AR36" s="93"/>
      <c r="AS36" s="93"/>
      <c r="AT36" s="93"/>
      <c r="AU36" s="93"/>
      <c r="AV36" s="93"/>
    </row>
    <row r="37" spans="1:48" ht="15" customHeight="1">
      <c r="A37" s="280" t="s">
        <v>38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73" t="s">
        <v>150</v>
      </c>
      <c r="W37" s="273"/>
      <c r="X37" s="273"/>
      <c r="Y37" s="273"/>
      <c r="Z37" s="433"/>
      <c r="AA37" s="433"/>
      <c r="AB37" s="433"/>
      <c r="AC37" s="433"/>
      <c r="AD37" s="433"/>
      <c r="AE37" s="433"/>
      <c r="AF37" s="433"/>
      <c r="AG37" s="433"/>
      <c r="AH37" s="435">
        <f t="array" ref="AH37">ROUND(SUM(IF(LEFT('[1]декабрь 2020'!$A$3:$A$150,3)="352",'[1]декабрь 2020'!$AV$3:$AV$150))/1000,1)</f>
        <v>0</v>
      </c>
      <c r="AI37" s="436"/>
      <c r="AJ37" s="436"/>
      <c r="AK37" s="436"/>
      <c r="AL37" s="436"/>
      <c r="AM37" s="436"/>
      <c r="AN37" s="437"/>
      <c r="AP37" s="93"/>
    </row>
    <row r="38" spans="1:48" ht="15" customHeight="1">
      <c r="A38" s="280" t="s">
        <v>209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73" t="s">
        <v>151</v>
      </c>
      <c r="W38" s="273"/>
      <c r="X38" s="273"/>
      <c r="Y38" s="273"/>
      <c r="Z38" s="433">
        <v>9138.1</v>
      </c>
      <c r="AA38" s="433"/>
      <c r="AB38" s="433"/>
      <c r="AC38" s="433"/>
      <c r="AD38" s="433"/>
      <c r="AE38" s="433"/>
      <c r="AF38" s="433"/>
      <c r="AG38" s="433"/>
      <c r="AH38" s="367">
        <v>12608.6</v>
      </c>
      <c r="AI38" s="368"/>
      <c r="AJ38" s="368"/>
      <c r="AK38" s="368"/>
      <c r="AL38" s="368"/>
      <c r="AM38" s="368"/>
      <c r="AN38" s="369"/>
      <c r="AP38" s="94"/>
      <c r="AQ38" s="94"/>
      <c r="AR38" s="94"/>
      <c r="AS38" s="93"/>
      <c r="AT38" s="93"/>
      <c r="AU38" s="93"/>
    </row>
    <row r="39" spans="1:48" ht="15" customHeight="1">
      <c r="A39" s="280" t="s">
        <v>134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73" t="s">
        <v>152</v>
      </c>
      <c r="W39" s="273"/>
      <c r="X39" s="273"/>
      <c r="Y39" s="273"/>
      <c r="Z39" s="434"/>
      <c r="AA39" s="434"/>
      <c r="AB39" s="434"/>
      <c r="AC39" s="434"/>
      <c r="AD39" s="434"/>
      <c r="AE39" s="434"/>
      <c r="AF39" s="434"/>
      <c r="AG39" s="434"/>
      <c r="AH39" s="367">
        <f t="array" ref="AH39">ROUND(SUM(IF((LEFT('[1]декабрь 2020'!$A$3:$A$150,2)="39"),'[1]декабрь 2020'!$AV$3:$AV$150))/1000,1)</f>
        <v>0</v>
      </c>
      <c r="AI39" s="368"/>
      <c r="AJ39" s="368"/>
      <c r="AK39" s="368"/>
      <c r="AL39" s="368"/>
      <c r="AM39" s="368"/>
      <c r="AN39" s="369"/>
      <c r="AP39" s="93"/>
    </row>
    <row r="40" spans="1:48" ht="15" customHeight="1">
      <c r="A40" s="280" t="s">
        <v>40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73" t="s">
        <v>153</v>
      </c>
      <c r="W40" s="273"/>
      <c r="X40" s="273"/>
      <c r="Y40" s="273"/>
      <c r="Z40" s="434">
        <v>8.4</v>
      </c>
      <c r="AA40" s="434"/>
      <c r="AB40" s="434"/>
      <c r="AC40" s="434"/>
      <c r="AD40" s="434"/>
      <c r="AE40" s="434"/>
      <c r="AF40" s="434"/>
      <c r="AG40" s="434"/>
      <c r="AH40" s="367">
        <v>8.4</v>
      </c>
      <c r="AI40" s="368"/>
      <c r="AJ40" s="368"/>
      <c r="AK40" s="368"/>
      <c r="AL40" s="368"/>
      <c r="AM40" s="368"/>
      <c r="AN40" s="369"/>
      <c r="AP40" s="93"/>
      <c r="AQ40" s="93"/>
    </row>
    <row r="41" spans="1:48" ht="19.5" customHeight="1">
      <c r="A41" s="282" t="s">
        <v>41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371" t="s">
        <v>154</v>
      </c>
      <c r="W41" s="371"/>
      <c r="X41" s="371"/>
      <c r="Y41" s="371"/>
      <c r="Z41" s="438">
        <v>25006.9</v>
      </c>
      <c r="AA41" s="438"/>
      <c r="AB41" s="438"/>
      <c r="AC41" s="438"/>
      <c r="AD41" s="438"/>
      <c r="AE41" s="438"/>
      <c r="AF41" s="438"/>
      <c r="AG41" s="438"/>
      <c r="AH41" s="318">
        <f>SUM(AH30,AH32:AN34,AH36:AN40)</f>
        <v>43195.8</v>
      </c>
      <c r="AI41" s="318"/>
      <c r="AJ41" s="318"/>
      <c r="AK41" s="318"/>
      <c r="AL41" s="318"/>
      <c r="AM41" s="318"/>
      <c r="AN41" s="318"/>
    </row>
    <row r="42" spans="1:48" ht="24.75" customHeight="1">
      <c r="A42" s="283" t="s">
        <v>301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371" t="s">
        <v>155</v>
      </c>
      <c r="W42" s="371"/>
      <c r="X42" s="371"/>
      <c r="Y42" s="371"/>
      <c r="Z42" s="388"/>
      <c r="AA42" s="388"/>
      <c r="AB42" s="388"/>
      <c r="AC42" s="388"/>
      <c r="AD42" s="388"/>
      <c r="AE42" s="388"/>
      <c r="AF42" s="388"/>
      <c r="AG42" s="388"/>
      <c r="AH42" s="279"/>
      <c r="AI42" s="279"/>
      <c r="AJ42" s="279"/>
      <c r="AK42" s="279"/>
      <c r="AL42" s="279"/>
      <c r="AM42" s="279"/>
      <c r="AN42" s="279"/>
    </row>
    <row r="43" spans="1:48" ht="14.25" customHeight="1">
      <c r="A43" s="251" t="s">
        <v>44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371" t="s">
        <v>156</v>
      </c>
      <c r="W43" s="371"/>
      <c r="X43" s="371"/>
      <c r="Y43" s="371"/>
      <c r="Z43" s="318">
        <f>Z28+Z41+Z42</f>
        <v>30742.9</v>
      </c>
      <c r="AA43" s="318"/>
      <c r="AB43" s="318"/>
      <c r="AC43" s="318"/>
      <c r="AD43" s="318"/>
      <c r="AE43" s="318"/>
      <c r="AF43" s="318"/>
      <c r="AG43" s="318"/>
      <c r="AH43" s="318">
        <f>AH28+AH41+AH42</f>
        <v>60444.800000000003</v>
      </c>
      <c r="AI43" s="319"/>
      <c r="AJ43" s="319"/>
      <c r="AK43" s="319"/>
      <c r="AL43" s="319"/>
      <c r="AM43" s="319"/>
      <c r="AN43" s="319"/>
      <c r="AP43" s="40"/>
    </row>
    <row r="44" spans="1:48" ht="4.5" hidden="1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9"/>
      <c r="W44" s="239"/>
      <c r="X44" s="239"/>
      <c r="Y44" s="239"/>
      <c r="Z44" s="229"/>
      <c r="AA44" s="229"/>
      <c r="AB44" s="229"/>
      <c r="AC44" s="229"/>
      <c r="AD44" s="229"/>
      <c r="AE44" s="229"/>
      <c r="AF44" s="229"/>
      <c r="AG44" s="229"/>
      <c r="AH44" s="230"/>
      <c r="AI44" s="230"/>
      <c r="AJ44" s="230"/>
      <c r="AK44" s="230"/>
      <c r="AL44" s="230"/>
      <c r="AM44" s="230"/>
      <c r="AN44" s="230"/>
    </row>
    <row r="45" spans="1:48" ht="27" customHeight="1">
      <c r="A45" s="273" t="s">
        <v>45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 t="s">
        <v>170</v>
      </c>
      <c r="W45" s="273"/>
      <c r="X45" s="273"/>
      <c r="Y45" s="273"/>
      <c r="Z45" s="273" t="s">
        <v>20</v>
      </c>
      <c r="AA45" s="273"/>
      <c r="AB45" s="273"/>
      <c r="AC45" s="273"/>
      <c r="AD45" s="273"/>
      <c r="AE45" s="273"/>
      <c r="AF45" s="273"/>
      <c r="AG45" s="273"/>
      <c r="AH45" s="273" t="s">
        <v>78</v>
      </c>
      <c r="AI45" s="273"/>
      <c r="AJ45" s="273"/>
      <c r="AK45" s="273"/>
      <c r="AL45" s="273"/>
      <c r="AM45" s="273"/>
      <c r="AN45" s="273"/>
    </row>
    <row r="46" spans="1:48" ht="12.75" customHeight="1">
      <c r="A46" s="281">
        <v>1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>
        <v>2</v>
      </c>
      <c r="W46" s="281"/>
      <c r="X46" s="281"/>
      <c r="Y46" s="281"/>
      <c r="Z46" s="272">
        <v>3</v>
      </c>
      <c r="AA46" s="272"/>
      <c r="AB46" s="272"/>
      <c r="AC46" s="272"/>
      <c r="AD46" s="272"/>
      <c r="AE46" s="272"/>
      <c r="AF46" s="272"/>
      <c r="AG46" s="272"/>
      <c r="AH46" s="272">
        <v>4</v>
      </c>
      <c r="AI46" s="272"/>
      <c r="AJ46" s="272"/>
      <c r="AK46" s="272"/>
      <c r="AL46" s="272"/>
      <c r="AM46" s="272"/>
      <c r="AN46" s="272"/>
    </row>
    <row r="47" spans="1:48" ht="19.5" customHeight="1">
      <c r="A47" s="283" t="s">
        <v>46</v>
      </c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1"/>
      <c r="W47" s="281"/>
      <c r="X47" s="281"/>
      <c r="Y47" s="281"/>
      <c r="Z47" s="278"/>
      <c r="AA47" s="278"/>
      <c r="AB47" s="278"/>
      <c r="AC47" s="278"/>
      <c r="AD47" s="278"/>
      <c r="AE47" s="278"/>
      <c r="AF47" s="278"/>
      <c r="AG47" s="278"/>
      <c r="AH47" s="279"/>
      <c r="AI47" s="279"/>
      <c r="AJ47" s="279"/>
      <c r="AK47" s="279"/>
      <c r="AL47" s="279"/>
      <c r="AM47" s="279"/>
      <c r="AN47" s="279"/>
    </row>
    <row r="48" spans="1:48" ht="13.5" customHeight="1">
      <c r="A48" s="280" t="s">
        <v>157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1" t="s">
        <v>171</v>
      </c>
      <c r="W48" s="281"/>
      <c r="X48" s="281"/>
      <c r="Y48" s="281"/>
      <c r="Z48" s="433">
        <v>7.5</v>
      </c>
      <c r="AA48" s="433"/>
      <c r="AB48" s="433"/>
      <c r="AC48" s="433"/>
      <c r="AD48" s="433"/>
      <c r="AE48" s="433"/>
      <c r="AF48" s="433"/>
      <c r="AG48" s="433"/>
      <c r="AH48" s="367">
        <f t="array" ref="AH48">-ROUND(SUM(IF(LEFT('[1]декабрь 2020'!$A$3:$A$150,2)="40",'[1]декабрь 2020'!$AW$3:$AW$150))/1000,1)</f>
        <v>7.5</v>
      </c>
      <c r="AI48" s="368"/>
      <c r="AJ48" s="368"/>
      <c r="AK48" s="368"/>
      <c r="AL48" s="368"/>
      <c r="AM48" s="368"/>
      <c r="AN48" s="369"/>
      <c r="AP48" s="94"/>
    </row>
    <row r="49" spans="1:43">
      <c r="A49" s="280" t="s">
        <v>48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1" t="s">
        <v>172</v>
      </c>
      <c r="W49" s="281"/>
      <c r="X49" s="281"/>
      <c r="Y49" s="281"/>
      <c r="Z49" s="388">
        <v>3434.2</v>
      </c>
      <c r="AA49" s="388"/>
      <c r="AB49" s="388"/>
      <c r="AC49" s="388"/>
      <c r="AD49" s="388"/>
      <c r="AE49" s="388"/>
      <c r="AF49" s="388"/>
      <c r="AG49" s="388"/>
      <c r="AH49" s="435">
        <f>84.5+7951.9</f>
        <v>8036.4</v>
      </c>
      <c r="AI49" s="436"/>
      <c r="AJ49" s="436"/>
      <c r="AK49" s="436"/>
      <c r="AL49" s="436"/>
      <c r="AM49" s="436"/>
      <c r="AN49" s="437"/>
    </row>
    <row r="50" spans="1:43">
      <c r="A50" s="280" t="s">
        <v>49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1" t="s">
        <v>173</v>
      </c>
      <c r="W50" s="281"/>
      <c r="X50" s="281"/>
      <c r="Y50" s="281"/>
      <c r="Z50" s="388"/>
      <c r="AA50" s="388"/>
      <c r="AB50" s="388"/>
      <c r="AC50" s="388"/>
      <c r="AD50" s="388"/>
      <c r="AE50" s="388"/>
      <c r="AF50" s="388"/>
      <c r="AG50" s="388"/>
      <c r="AH50" s="435">
        <f t="array" ref="AH50">-ROUND(SUM(IF(LEFT('[1]декабрь 2020'!$A$3:$A$150,2)="43",'[1]декабрь 2020'!$AW$3:$AW$150))/1000,1)</f>
        <v>0</v>
      </c>
      <c r="AI50" s="436"/>
      <c r="AJ50" s="436"/>
      <c r="AK50" s="436"/>
      <c r="AL50" s="436"/>
      <c r="AM50" s="436"/>
      <c r="AN50" s="437"/>
    </row>
    <row r="51" spans="1:43">
      <c r="A51" s="280" t="s">
        <v>50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1" t="s">
        <v>174</v>
      </c>
      <c r="W51" s="281"/>
      <c r="X51" s="281"/>
      <c r="Y51" s="281"/>
      <c r="Z51" s="433">
        <v>9797.2999999999993</v>
      </c>
      <c r="AA51" s="433"/>
      <c r="AB51" s="433"/>
      <c r="AC51" s="433"/>
      <c r="AD51" s="433"/>
      <c r="AE51" s="433"/>
      <c r="AF51" s="433"/>
      <c r="AG51" s="433"/>
      <c r="AH51" s="367">
        <v>22093.4</v>
      </c>
      <c r="AI51" s="368"/>
      <c r="AJ51" s="368"/>
      <c r="AK51" s="368"/>
      <c r="AL51" s="368"/>
      <c r="AM51" s="368"/>
      <c r="AN51" s="369"/>
      <c r="AP51" s="36"/>
      <c r="AQ51" s="36"/>
    </row>
    <row r="52" spans="1:43">
      <c r="A52" s="280" t="s">
        <v>51</v>
      </c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1" t="s">
        <v>175</v>
      </c>
      <c r="W52" s="281"/>
      <c r="X52" s="281"/>
      <c r="Y52" s="281"/>
      <c r="Z52" s="305" t="s">
        <v>117</v>
      </c>
      <c r="AA52" s="305"/>
      <c r="AB52" s="305"/>
      <c r="AC52" s="305"/>
      <c r="AD52" s="305"/>
      <c r="AE52" s="305"/>
      <c r="AF52" s="305"/>
      <c r="AG52" s="305"/>
      <c r="AH52" s="439" t="s">
        <v>118</v>
      </c>
      <c r="AI52" s="439"/>
      <c r="AJ52" s="439"/>
      <c r="AK52" s="439"/>
      <c r="AL52" s="439"/>
      <c r="AM52" s="439"/>
      <c r="AN52" s="439"/>
    </row>
    <row r="53" spans="1:43">
      <c r="A53" s="282" t="s">
        <v>30</v>
      </c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3" t="s">
        <v>176</v>
      </c>
      <c r="W53" s="283"/>
      <c r="X53" s="283"/>
      <c r="Y53" s="283"/>
      <c r="Z53" s="318">
        <f>SUM(Z48:AG52)</f>
        <v>13239</v>
      </c>
      <c r="AA53" s="318"/>
      <c r="AB53" s="318"/>
      <c r="AC53" s="318"/>
      <c r="AD53" s="318"/>
      <c r="AE53" s="318"/>
      <c r="AF53" s="318"/>
      <c r="AG53" s="318"/>
      <c r="AH53" s="440">
        <f>SUM(AH48:AN52)</f>
        <v>30137.300000000003</v>
      </c>
      <c r="AI53" s="440"/>
      <c r="AJ53" s="440"/>
      <c r="AK53" s="440"/>
      <c r="AL53" s="440"/>
      <c r="AM53" s="440"/>
      <c r="AN53" s="440"/>
    </row>
    <row r="54" spans="1:43">
      <c r="A54" s="371" t="s">
        <v>158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283" t="s">
        <v>177</v>
      </c>
      <c r="W54" s="283"/>
      <c r="X54" s="283"/>
      <c r="Y54" s="283"/>
      <c r="Z54" s="438">
        <v>15400.9</v>
      </c>
      <c r="AA54" s="438"/>
      <c r="AB54" s="438"/>
      <c r="AC54" s="438"/>
      <c r="AD54" s="438"/>
      <c r="AE54" s="438"/>
      <c r="AF54" s="438"/>
      <c r="AG54" s="438"/>
      <c r="AH54" s="364">
        <v>27930.9</v>
      </c>
      <c r="AI54" s="365"/>
      <c r="AJ54" s="365"/>
      <c r="AK54" s="365"/>
      <c r="AL54" s="365"/>
      <c r="AM54" s="365"/>
      <c r="AN54" s="366"/>
      <c r="AP54" s="36"/>
    </row>
    <row r="55" spans="1:43">
      <c r="A55" s="283" t="s">
        <v>159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388"/>
      <c r="AA55" s="388"/>
      <c r="AB55" s="388"/>
      <c r="AC55" s="388"/>
      <c r="AD55" s="388"/>
      <c r="AE55" s="388"/>
      <c r="AF55" s="388"/>
      <c r="AG55" s="388"/>
      <c r="AH55" s="279"/>
      <c r="AI55" s="279"/>
      <c r="AJ55" s="279"/>
      <c r="AK55" s="279"/>
      <c r="AL55" s="279"/>
      <c r="AM55" s="279"/>
      <c r="AN55" s="279"/>
    </row>
    <row r="56" spans="1:43">
      <c r="A56" s="280" t="s">
        <v>55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1" t="s">
        <v>178</v>
      </c>
      <c r="W56" s="281"/>
      <c r="X56" s="281"/>
      <c r="Y56" s="281"/>
      <c r="Z56" s="388"/>
      <c r="AA56" s="388"/>
      <c r="AB56" s="388"/>
      <c r="AC56" s="388"/>
      <c r="AD56" s="388"/>
      <c r="AE56" s="388"/>
      <c r="AF56" s="388"/>
      <c r="AG56" s="388"/>
      <c r="AH56" s="279"/>
      <c r="AI56" s="279"/>
      <c r="AJ56" s="279"/>
      <c r="AK56" s="279"/>
      <c r="AL56" s="279"/>
      <c r="AM56" s="279"/>
      <c r="AN56" s="279"/>
    </row>
    <row r="57" spans="1:43">
      <c r="A57" s="280" t="s">
        <v>160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441"/>
      <c r="W57" s="441"/>
      <c r="X57" s="441"/>
      <c r="Y57" s="441"/>
      <c r="Z57" s="388"/>
      <c r="AA57" s="388"/>
      <c r="AB57" s="388"/>
      <c r="AC57" s="388"/>
      <c r="AD57" s="388"/>
      <c r="AE57" s="388"/>
      <c r="AF57" s="388"/>
      <c r="AG57" s="388"/>
      <c r="AH57" s="279"/>
      <c r="AI57" s="279"/>
      <c r="AJ57" s="279"/>
      <c r="AK57" s="279"/>
      <c r="AL57" s="279"/>
      <c r="AM57" s="279"/>
      <c r="AN57" s="279"/>
    </row>
    <row r="58" spans="1:43">
      <c r="A58" s="334" t="s">
        <v>161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281" t="s">
        <v>179</v>
      </c>
      <c r="W58" s="281"/>
      <c r="X58" s="281"/>
      <c r="Y58" s="281"/>
      <c r="Z58" s="388"/>
      <c r="AA58" s="388"/>
      <c r="AB58" s="388"/>
      <c r="AC58" s="388"/>
      <c r="AD58" s="388"/>
      <c r="AE58" s="388"/>
      <c r="AF58" s="388"/>
      <c r="AG58" s="388"/>
      <c r="AH58" s="279"/>
      <c r="AI58" s="279"/>
      <c r="AJ58" s="279"/>
      <c r="AK58" s="279"/>
      <c r="AL58" s="279"/>
      <c r="AM58" s="279"/>
      <c r="AN58" s="279"/>
    </row>
    <row r="59" spans="1:43">
      <c r="A59" s="334" t="s">
        <v>162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281" t="s">
        <v>180</v>
      </c>
      <c r="W59" s="281"/>
      <c r="X59" s="281"/>
      <c r="Y59" s="281"/>
      <c r="Z59" s="388"/>
      <c r="AA59" s="388"/>
      <c r="AB59" s="388"/>
      <c r="AC59" s="388"/>
      <c r="AD59" s="388"/>
      <c r="AE59" s="388"/>
      <c r="AF59" s="388"/>
      <c r="AG59" s="388"/>
      <c r="AH59" s="367">
        <f>17.3+1.8</f>
        <v>19.100000000000001</v>
      </c>
      <c r="AI59" s="368"/>
      <c r="AJ59" s="368"/>
      <c r="AK59" s="368"/>
      <c r="AL59" s="368"/>
      <c r="AM59" s="368"/>
      <c r="AN59" s="369"/>
    </row>
    <row r="60" spans="1:43">
      <c r="A60" s="334" t="s">
        <v>163</v>
      </c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281" t="s">
        <v>181</v>
      </c>
      <c r="W60" s="281"/>
      <c r="X60" s="281"/>
      <c r="Y60" s="281"/>
      <c r="Z60" s="388">
        <v>7.8</v>
      </c>
      <c r="AA60" s="388"/>
      <c r="AB60" s="388"/>
      <c r="AC60" s="388"/>
      <c r="AD60" s="388"/>
      <c r="AE60" s="388"/>
      <c r="AF60" s="388"/>
      <c r="AG60" s="388"/>
      <c r="AH60" s="367">
        <f>76.2+1.7</f>
        <v>77.900000000000006</v>
      </c>
      <c r="AI60" s="368"/>
      <c r="AJ60" s="368"/>
      <c r="AK60" s="368"/>
      <c r="AL60" s="368"/>
      <c r="AM60" s="368"/>
      <c r="AN60" s="369"/>
      <c r="AP60" s="36"/>
      <c r="AQ60" s="36"/>
    </row>
    <row r="61" spans="1:43">
      <c r="A61" s="330" t="s">
        <v>213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281" t="s">
        <v>182</v>
      </c>
      <c r="W61" s="281"/>
      <c r="X61" s="281"/>
      <c r="Y61" s="281"/>
      <c r="Z61" s="388"/>
      <c r="AA61" s="388"/>
      <c r="AB61" s="388"/>
      <c r="AC61" s="388"/>
      <c r="AD61" s="388"/>
      <c r="AE61" s="388"/>
      <c r="AF61" s="388"/>
      <c r="AG61" s="388"/>
      <c r="AH61" s="279"/>
      <c r="AI61" s="279"/>
      <c r="AJ61" s="279"/>
      <c r="AK61" s="279"/>
      <c r="AL61" s="279"/>
      <c r="AM61" s="279"/>
      <c r="AN61" s="279"/>
    </row>
    <row r="62" spans="1:43">
      <c r="A62" s="334" t="s">
        <v>165</v>
      </c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281" t="s">
        <v>183</v>
      </c>
      <c r="W62" s="281"/>
      <c r="X62" s="281"/>
      <c r="Y62" s="281"/>
      <c r="Z62" s="388"/>
      <c r="AA62" s="388"/>
      <c r="AB62" s="388"/>
      <c r="AC62" s="388"/>
      <c r="AD62" s="388"/>
      <c r="AE62" s="388"/>
      <c r="AF62" s="388"/>
      <c r="AG62" s="388"/>
      <c r="AH62" s="279">
        <v>0</v>
      </c>
      <c r="AI62" s="279"/>
      <c r="AJ62" s="279"/>
      <c r="AK62" s="279"/>
      <c r="AL62" s="279"/>
      <c r="AM62" s="279"/>
      <c r="AN62" s="279"/>
    </row>
    <row r="63" spans="1:43">
      <c r="A63" s="334" t="s">
        <v>166</v>
      </c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281" t="s">
        <v>184</v>
      </c>
      <c r="W63" s="281"/>
      <c r="X63" s="281"/>
      <c r="Y63" s="281"/>
      <c r="Z63" s="388">
        <v>32.200000000000003</v>
      </c>
      <c r="AA63" s="388"/>
      <c r="AB63" s="388"/>
      <c r="AC63" s="388"/>
      <c r="AD63" s="388"/>
      <c r="AE63" s="388"/>
      <c r="AF63" s="388"/>
      <c r="AG63" s="388"/>
      <c r="AH63" s="367">
        <v>110.7</v>
      </c>
      <c r="AI63" s="368"/>
      <c r="AJ63" s="368"/>
      <c r="AK63" s="368"/>
      <c r="AL63" s="368"/>
      <c r="AM63" s="368"/>
      <c r="AN63" s="369"/>
      <c r="AP63" s="36"/>
    </row>
    <row r="64" spans="1:43">
      <c r="A64" s="280" t="s">
        <v>167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1" t="s">
        <v>185</v>
      </c>
      <c r="W64" s="281"/>
      <c r="X64" s="281"/>
      <c r="Y64" s="281"/>
      <c r="Z64" s="388">
        <v>2063</v>
      </c>
      <c r="AA64" s="388"/>
      <c r="AB64" s="388"/>
      <c r="AC64" s="388"/>
      <c r="AD64" s="388"/>
      <c r="AE64" s="388"/>
      <c r="AF64" s="388"/>
      <c r="AG64" s="388"/>
      <c r="AH64" s="367">
        <v>2168.9</v>
      </c>
      <c r="AI64" s="368"/>
      <c r="AJ64" s="368"/>
      <c r="AK64" s="368"/>
      <c r="AL64" s="368"/>
      <c r="AM64" s="368"/>
      <c r="AN64" s="369"/>
    </row>
    <row r="65" spans="1:42">
      <c r="A65" s="280" t="s">
        <v>168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1" t="s">
        <v>186</v>
      </c>
      <c r="W65" s="281"/>
      <c r="X65" s="281"/>
      <c r="Y65" s="281"/>
      <c r="Z65" s="388">
        <v>0</v>
      </c>
      <c r="AA65" s="388"/>
      <c r="AB65" s="388"/>
      <c r="AC65" s="388"/>
      <c r="AD65" s="388"/>
      <c r="AE65" s="388"/>
      <c r="AF65" s="388"/>
      <c r="AG65" s="388"/>
      <c r="AH65" s="367">
        <f t="array" ref="AH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I65" s="368"/>
      <c r="AJ65" s="368"/>
      <c r="AK65" s="368"/>
      <c r="AL65" s="368"/>
      <c r="AM65" s="368"/>
      <c r="AN65" s="369"/>
      <c r="AP65" s="36"/>
    </row>
    <row r="66" spans="1:42">
      <c r="A66" s="282" t="s">
        <v>214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1" t="s">
        <v>187</v>
      </c>
      <c r="W66" s="281"/>
      <c r="X66" s="281"/>
      <c r="Y66" s="281"/>
      <c r="Z66" s="318">
        <f>SUM(Z56:AG60,Z62:AG65)</f>
        <v>2103</v>
      </c>
      <c r="AA66" s="318"/>
      <c r="AB66" s="318"/>
      <c r="AC66" s="318"/>
      <c r="AD66" s="318"/>
      <c r="AE66" s="318"/>
      <c r="AF66" s="318"/>
      <c r="AG66" s="318"/>
      <c r="AH66" s="440">
        <f>SUM(AH56:AN60,AH62:AN65)</f>
        <v>2376.6</v>
      </c>
      <c r="AI66" s="440"/>
      <c r="AJ66" s="440"/>
      <c r="AK66" s="440"/>
      <c r="AL66" s="440"/>
      <c r="AM66" s="440"/>
      <c r="AN66" s="440"/>
    </row>
    <row r="67" spans="1:42" ht="31.5" customHeight="1">
      <c r="A67" s="371" t="s">
        <v>169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283" t="s">
        <v>188</v>
      </c>
      <c r="W67" s="283"/>
      <c r="X67" s="283"/>
      <c r="Y67" s="283"/>
      <c r="Z67" s="388">
        <v>0</v>
      </c>
      <c r="AA67" s="388"/>
      <c r="AB67" s="388"/>
      <c r="AC67" s="388"/>
      <c r="AD67" s="388"/>
      <c r="AE67" s="388"/>
      <c r="AF67" s="388"/>
      <c r="AG67" s="388"/>
      <c r="AH67" s="367">
        <v>0</v>
      </c>
      <c r="AI67" s="368"/>
      <c r="AJ67" s="368"/>
      <c r="AK67" s="368"/>
      <c r="AL67" s="368"/>
      <c r="AM67" s="368"/>
      <c r="AN67" s="369"/>
    </row>
    <row r="68" spans="1:42">
      <c r="A68" s="282" t="s">
        <v>44</v>
      </c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3" t="s">
        <v>189</v>
      </c>
      <c r="W68" s="283"/>
      <c r="X68" s="283"/>
      <c r="Y68" s="283"/>
      <c r="Z68" s="318">
        <f>SUM(Z66:AG67,Z53,Z54:AG54)</f>
        <v>30742.9</v>
      </c>
      <c r="AA68" s="318"/>
      <c r="AB68" s="318"/>
      <c r="AC68" s="318"/>
      <c r="AD68" s="318"/>
      <c r="AE68" s="318"/>
      <c r="AF68" s="318"/>
      <c r="AG68" s="318"/>
      <c r="AH68" s="318">
        <f>SUM(AH66:AN67,AH53,AH54:AM54)</f>
        <v>60444.800000000003</v>
      </c>
      <c r="AI68" s="319"/>
      <c r="AJ68" s="319"/>
      <c r="AK68" s="319"/>
      <c r="AL68" s="319"/>
      <c r="AM68" s="319"/>
      <c r="AN68" s="319"/>
      <c r="AP68" s="40"/>
    </row>
    <row r="69" spans="1:42" ht="15.75">
      <c r="A69" s="228"/>
      <c r="B69" s="228"/>
      <c r="C69" s="228"/>
      <c r="D69" s="228"/>
      <c r="F69" s="228"/>
      <c r="G69" s="228"/>
      <c r="H69" s="228"/>
      <c r="I69" s="228"/>
      <c r="J69" s="228"/>
      <c r="K69" s="228"/>
      <c r="L69" s="5"/>
      <c r="V69" s="228"/>
    </row>
    <row r="70" spans="1:42">
      <c r="A70" s="313" t="s">
        <v>62</v>
      </c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</row>
    <row r="71" spans="1:42">
      <c r="A71" s="313" t="s">
        <v>315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</row>
    <row r="72" spans="1:42">
      <c r="A72" s="27"/>
      <c r="B72" s="27"/>
      <c r="C72" s="27"/>
      <c r="D72" s="27"/>
      <c r="E72" s="28"/>
      <c r="F72" s="27"/>
      <c r="G72" s="29"/>
      <c r="H72" s="236"/>
      <c r="I72" s="236"/>
      <c r="J72" s="236"/>
      <c r="K72" s="236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7"/>
      <c r="W72" s="28"/>
      <c r="X72" s="28"/>
      <c r="Y72" s="28"/>
      <c r="Z72" s="314" t="s">
        <v>216</v>
      </c>
      <c r="AA72" s="314"/>
      <c r="AB72" s="314"/>
      <c r="AC72" s="314"/>
      <c r="AD72" s="314"/>
      <c r="AE72" s="314"/>
      <c r="AF72" s="314"/>
      <c r="AG72" s="314"/>
      <c r="AH72" s="30"/>
      <c r="AI72" s="30"/>
      <c r="AJ72" s="30"/>
      <c r="AK72" s="30"/>
      <c r="AL72" s="30"/>
      <c r="AM72" s="30"/>
      <c r="AN72" s="30"/>
    </row>
    <row r="73" spans="1:42" ht="15.75">
      <c r="A73" s="17"/>
      <c r="B73" s="17"/>
      <c r="C73" s="17"/>
      <c r="D73" s="17"/>
      <c r="F73" s="17"/>
      <c r="G73" s="18"/>
      <c r="H73" s="19"/>
      <c r="I73" s="19"/>
      <c r="J73" s="19"/>
      <c r="K73" s="17"/>
      <c r="L73" s="5"/>
      <c r="V73" s="17"/>
      <c r="Z73" s="256" t="s">
        <v>16</v>
      </c>
      <c r="AA73" s="256"/>
      <c r="AB73" s="256"/>
      <c r="AC73" s="256"/>
      <c r="AD73" s="256"/>
      <c r="AE73" s="256"/>
      <c r="AF73" s="256"/>
      <c r="AG73" s="256"/>
      <c r="AH73" s="257">
        <v>1801007</v>
      </c>
      <c r="AI73" s="258"/>
      <c r="AJ73" s="258"/>
      <c r="AK73" s="258"/>
      <c r="AL73" s="258"/>
      <c r="AM73" s="258"/>
      <c r="AN73" s="259"/>
    </row>
    <row r="74" spans="1:42" ht="15.75">
      <c r="A74" s="17"/>
      <c r="B74" s="17"/>
      <c r="C74" s="17"/>
      <c r="D74" s="17"/>
      <c r="F74" s="17"/>
      <c r="G74" s="18"/>
      <c r="H74" s="19"/>
      <c r="I74" s="19"/>
      <c r="J74" s="19"/>
      <c r="K74" s="17"/>
      <c r="L74" s="5"/>
      <c r="V74" s="1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</row>
    <row r="75" spans="1:42">
      <c r="A75" s="273" t="s">
        <v>64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68" t="s">
        <v>170</v>
      </c>
      <c r="W75" s="268"/>
      <c r="X75" s="268"/>
      <c r="Y75" s="268"/>
      <c r="Z75" s="262" t="s">
        <v>113</v>
      </c>
      <c r="AA75" s="263"/>
      <c r="AB75" s="263"/>
      <c r="AC75" s="263"/>
      <c r="AD75" s="263"/>
      <c r="AE75" s="263"/>
      <c r="AF75" s="263"/>
      <c r="AG75" s="264"/>
      <c r="AH75" s="273" t="s">
        <v>190</v>
      </c>
      <c r="AI75" s="273"/>
      <c r="AJ75" s="273"/>
      <c r="AK75" s="273"/>
      <c r="AL75" s="273"/>
      <c r="AM75" s="273"/>
      <c r="AN75" s="273"/>
    </row>
    <row r="76" spans="1:42">
      <c r="A76" s="269">
        <v>1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1"/>
      <c r="V76" s="249" t="s">
        <v>95</v>
      </c>
      <c r="W76" s="249"/>
      <c r="X76" s="249"/>
      <c r="Y76" s="249"/>
      <c r="Z76" s="272">
        <v>3</v>
      </c>
      <c r="AA76" s="272"/>
      <c r="AB76" s="272"/>
      <c r="AC76" s="272"/>
      <c r="AD76" s="272"/>
      <c r="AE76" s="272"/>
      <c r="AF76" s="272"/>
      <c r="AG76" s="272"/>
      <c r="AH76" s="272">
        <v>4</v>
      </c>
      <c r="AI76" s="272"/>
      <c r="AJ76" s="272"/>
      <c r="AK76" s="272"/>
      <c r="AL76" s="272"/>
      <c r="AM76" s="272"/>
      <c r="AN76" s="272"/>
    </row>
    <row r="77" spans="1:42" ht="26.25" customHeight="1">
      <c r="A77" s="248" t="s">
        <v>212</v>
      </c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421" t="s">
        <v>194</v>
      </c>
      <c r="W77" s="421"/>
      <c r="X77" s="421"/>
      <c r="Y77" s="421"/>
      <c r="Z77" s="272">
        <v>75760.600000000006</v>
      </c>
      <c r="AA77" s="272"/>
      <c r="AB77" s="272"/>
      <c r="AC77" s="272"/>
      <c r="AD77" s="272"/>
      <c r="AE77" s="272"/>
      <c r="AF77" s="272"/>
      <c r="AG77" s="272"/>
      <c r="AH77" s="460">
        <v>25780.799999999999</v>
      </c>
      <c r="AI77" s="461"/>
      <c r="AJ77" s="461"/>
      <c r="AK77" s="461"/>
      <c r="AL77" s="461"/>
      <c r="AM77" s="461"/>
      <c r="AN77" s="462"/>
      <c r="AO77" s="65"/>
    </row>
    <row r="78" spans="1:42">
      <c r="A78" s="248" t="s">
        <v>68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421" t="s">
        <v>195</v>
      </c>
      <c r="W78" s="421"/>
      <c r="X78" s="421"/>
      <c r="Y78" s="421"/>
      <c r="Z78" s="306">
        <v>23536.9</v>
      </c>
      <c r="AA78" s="414"/>
      <c r="AB78" s="414"/>
      <c r="AC78" s="414"/>
      <c r="AD78" s="414"/>
      <c r="AE78" s="414"/>
      <c r="AF78" s="414"/>
      <c r="AG78" s="426"/>
      <c r="AH78" s="460">
        <v>26438.5</v>
      </c>
      <c r="AI78" s="461"/>
      <c r="AJ78" s="461"/>
      <c r="AK78" s="461"/>
      <c r="AL78" s="461"/>
      <c r="AM78" s="461"/>
      <c r="AN78" s="462"/>
      <c r="AO78" s="65"/>
    </row>
    <row r="79" spans="1:42">
      <c r="A79" s="248" t="s">
        <v>69</v>
      </c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421" t="s">
        <v>196</v>
      </c>
      <c r="W79" s="421"/>
      <c r="X79" s="421"/>
      <c r="Y79" s="421"/>
      <c r="Z79" s="422">
        <v>1063.8</v>
      </c>
      <c r="AA79" s="423"/>
      <c r="AB79" s="423"/>
      <c r="AC79" s="423"/>
      <c r="AD79" s="423"/>
      <c r="AE79" s="423"/>
      <c r="AF79" s="423"/>
      <c r="AG79" s="424"/>
      <c r="AH79" s="460">
        <v>2230.3000000000002</v>
      </c>
      <c r="AI79" s="461"/>
      <c r="AJ79" s="461"/>
      <c r="AK79" s="461"/>
      <c r="AL79" s="461"/>
      <c r="AM79" s="461"/>
      <c r="AN79" s="462"/>
      <c r="AO79" s="65"/>
    </row>
    <row r="80" spans="1:42">
      <c r="A80" s="304" t="s">
        <v>191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8"/>
      <c r="V80" s="425" t="s">
        <v>197</v>
      </c>
      <c r="W80" s="425"/>
      <c r="X80" s="425"/>
      <c r="Y80" s="425"/>
      <c r="Z80" s="312">
        <f>SUM(Z77:AG79)</f>
        <v>100361.3</v>
      </c>
      <c r="AA80" s="312"/>
      <c r="AB80" s="312"/>
      <c r="AC80" s="312"/>
      <c r="AD80" s="312"/>
      <c r="AE80" s="312"/>
      <c r="AF80" s="312"/>
      <c r="AG80" s="312"/>
      <c r="AH80" s="456">
        <f>AH77+AH78+AH79</f>
        <v>54449.600000000006</v>
      </c>
      <c r="AI80" s="456"/>
      <c r="AJ80" s="456"/>
      <c r="AK80" s="456"/>
      <c r="AL80" s="456"/>
      <c r="AM80" s="456"/>
      <c r="AN80" s="456"/>
      <c r="AO80" s="66"/>
    </row>
    <row r="81" spans="1:41">
      <c r="A81" s="248" t="s">
        <v>70</v>
      </c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421" t="s">
        <v>198</v>
      </c>
      <c r="W81" s="421"/>
      <c r="X81" s="421"/>
      <c r="Y81" s="421"/>
      <c r="Z81" s="237" t="s">
        <v>117</v>
      </c>
      <c r="AA81" s="414">
        <f>83140.6-0.1</f>
        <v>83140.5</v>
      </c>
      <c r="AB81" s="414"/>
      <c r="AC81" s="414"/>
      <c r="AD81" s="414"/>
      <c r="AE81" s="414"/>
      <c r="AF81" s="414"/>
      <c r="AG81" s="238" t="s">
        <v>218</v>
      </c>
      <c r="AH81" s="67" t="s">
        <v>117</v>
      </c>
      <c r="AI81" s="307">
        <v>1713.3</v>
      </c>
      <c r="AJ81" s="307"/>
      <c r="AK81" s="307"/>
      <c r="AL81" s="307"/>
      <c r="AM81" s="307"/>
      <c r="AN81" s="95" t="s">
        <v>218</v>
      </c>
    </row>
    <row r="82" spans="1:41">
      <c r="A82" s="248" t="s">
        <v>71</v>
      </c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421" t="s">
        <v>199</v>
      </c>
      <c r="W82" s="421"/>
      <c r="X82" s="421"/>
      <c r="Y82" s="421"/>
      <c r="Z82" s="237" t="s">
        <v>117</v>
      </c>
      <c r="AA82" s="414">
        <v>9849.9</v>
      </c>
      <c r="AB82" s="414"/>
      <c r="AC82" s="414"/>
      <c r="AD82" s="414"/>
      <c r="AE82" s="414"/>
      <c r="AF82" s="414"/>
      <c r="AG82" s="238" t="s">
        <v>218</v>
      </c>
      <c r="AH82" s="67" t="s">
        <v>117</v>
      </c>
      <c r="AI82" s="307">
        <v>1933.2</v>
      </c>
      <c r="AJ82" s="307"/>
      <c r="AK82" s="307"/>
      <c r="AL82" s="307"/>
      <c r="AM82" s="307"/>
      <c r="AN82" s="95" t="s">
        <v>218</v>
      </c>
    </row>
    <row r="83" spans="1:41">
      <c r="A83" s="248" t="s">
        <v>72</v>
      </c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9" t="s">
        <v>200</v>
      </c>
      <c r="W83" s="249"/>
      <c r="X83" s="249"/>
      <c r="Y83" s="249"/>
      <c r="Z83" s="237" t="s">
        <v>117</v>
      </c>
      <c r="AA83" s="430"/>
      <c r="AB83" s="430"/>
      <c r="AC83" s="430"/>
      <c r="AD83" s="430"/>
      <c r="AE83" s="430"/>
      <c r="AF83" s="430"/>
      <c r="AG83" s="238" t="s">
        <v>218</v>
      </c>
      <c r="AH83" s="67" t="s">
        <v>117</v>
      </c>
      <c r="AI83" s="307">
        <v>42871.199999999997</v>
      </c>
      <c r="AJ83" s="307"/>
      <c r="AK83" s="307"/>
      <c r="AL83" s="307"/>
      <c r="AM83" s="307"/>
      <c r="AN83" s="95" t="s">
        <v>218</v>
      </c>
    </row>
    <row r="84" spans="1:41">
      <c r="A84" s="304" t="s">
        <v>192</v>
      </c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8"/>
      <c r="V84" s="252" t="s">
        <v>201</v>
      </c>
      <c r="W84" s="252"/>
      <c r="X84" s="252"/>
      <c r="Y84" s="252"/>
      <c r="Z84" s="237" t="s">
        <v>117</v>
      </c>
      <c r="AA84" s="309">
        <f>SUM(AA81:AF83)</f>
        <v>92990.399999999994</v>
      </c>
      <c r="AB84" s="309"/>
      <c r="AC84" s="309"/>
      <c r="AD84" s="309"/>
      <c r="AE84" s="309"/>
      <c r="AF84" s="309"/>
      <c r="AG84" s="238" t="s">
        <v>218</v>
      </c>
      <c r="AH84" s="223" t="s">
        <v>219</v>
      </c>
      <c r="AI84" s="458">
        <f>SUM(AI81:AM83)</f>
        <v>46517.7</v>
      </c>
      <c r="AJ84" s="458"/>
      <c r="AK84" s="458"/>
      <c r="AL84" s="458"/>
      <c r="AM84" s="458"/>
      <c r="AN84" s="224" t="s">
        <v>218</v>
      </c>
      <c r="AO84" s="226"/>
    </row>
    <row r="85" spans="1:41">
      <c r="A85" s="248" t="s">
        <v>217</v>
      </c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9" t="s">
        <v>202</v>
      </c>
      <c r="W85" s="249"/>
      <c r="X85" s="249"/>
      <c r="Y85" s="249"/>
      <c r="Z85" s="305">
        <f>Z80-AA84</f>
        <v>7370.9000000000087</v>
      </c>
      <c r="AA85" s="272"/>
      <c r="AB85" s="272"/>
      <c r="AC85" s="272"/>
      <c r="AD85" s="272"/>
      <c r="AE85" s="272"/>
      <c r="AF85" s="272"/>
      <c r="AG85" s="272"/>
      <c r="AH85" s="459">
        <f>AH80-AI84</f>
        <v>7931.9000000000087</v>
      </c>
      <c r="AI85" s="459"/>
      <c r="AJ85" s="459"/>
      <c r="AK85" s="459"/>
      <c r="AL85" s="459"/>
      <c r="AM85" s="459"/>
      <c r="AN85" s="459"/>
      <c r="AO85" s="65"/>
    </row>
    <row r="86" spans="1:41">
      <c r="A86" s="248" t="s">
        <v>74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9" t="s">
        <v>203</v>
      </c>
      <c r="W86" s="249"/>
      <c r="X86" s="249"/>
      <c r="Y86" s="249"/>
      <c r="Z86" s="237" t="s">
        <v>117</v>
      </c>
      <c r="AA86" s="254"/>
      <c r="AB86" s="254"/>
      <c r="AC86" s="254"/>
      <c r="AD86" s="254"/>
      <c r="AE86" s="254"/>
      <c r="AF86" s="254"/>
      <c r="AG86" s="238" t="s">
        <v>218</v>
      </c>
      <c r="AH86" s="457" t="s">
        <v>300</v>
      </c>
      <c r="AI86" s="457"/>
      <c r="AJ86" s="457"/>
      <c r="AK86" s="457"/>
      <c r="AL86" s="457"/>
      <c r="AM86" s="457"/>
      <c r="AN86" s="457"/>
      <c r="AO86" s="65"/>
    </row>
    <row r="87" spans="1:41">
      <c r="A87" s="296" t="s">
        <v>193</v>
      </c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8"/>
      <c r="V87" s="252" t="s">
        <v>204</v>
      </c>
      <c r="W87" s="252"/>
      <c r="X87" s="252"/>
      <c r="Y87" s="252"/>
      <c r="Z87" s="299">
        <f>Z85-AA86</f>
        <v>7370.9000000000087</v>
      </c>
      <c r="AA87" s="300"/>
      <c r="AB87" s="300"/>
      <c r="AC87" s="300"/>
      <c r="AD87" s="300"/>
      <c r="AE87" s="300"/>
      <c r="AF87" s="300"/>
      <c r="AG87" s="301"/>
      <c r="AH87" s="456">
        <f>AH85</f>
        <v>7931.9000000000087</v>
      </c>
      <c r="AI87" s="456"/>
      <c r="AJ87" s="456"/>
      <c r="AK87" s="456"/>
      <c r="AL87" s="456"/>
      <c r="AM87" s="456"/>
      <c r="AN87" s="456"/>
      <c r="AO87" s="65"/>
    </row>
    <row r="89" spans="1:41">
      <c r="B89" s="247" t="s">
        <v>91</v>
      </c>
      <c r="C89" s="247"/>
      <c r="D89" s="247"/>
      <c r="E89" s="247"/>
      <c r="F89" s="247"/>
      <c r="G89" s="247"/>
      <c r="H89" s="247"/>
      <c r="I89" s="247"/>
      <c r="Q89" s="235"/>
      <c r="R89" s="235"/>
      <c r="S89" s="235"/>
      <c r="T89" s="235"/>
      <c r="U89" s="246"/>
      <c r="V89" s="246"/>
      <c r="W89" s="246"/>
      <c r="X89" s="246"/>
      <c r="AH89" s="445" t="s">
        <v>227</v>
      </c>
      <c r="AI89" s="445"/>
      <c r="AJ89" s="445"/>
      <c r="AK89" s="445"/>
      <c r="AL89" s="445"/>
      <c r="AM89" s="445"/>
    </row>
    <row r="90" spans="1:41">
      <c r="Q90" s="235"/>
      <c r="R90" s="235"/>
      <c r="S90" s="235"/>
      <c r="T90" s="235"/>
      <c r="U90" s="294" t="s">
        <v>94</v>
      </c>
      <c r="V90" s="294"/>
      <c r="W90" s="294"/>
      <c r="X90" s="294"/>
      <c r="AH90" s="446" t="s">
        <v>93</v>
      </c>
      <c r="AI90" s="446"/>
      <c r="AJ90" s="446"/>
      <c r="AK90" s="446"/>
      <c r="AL90" s="446"/>
      <c r="AM90" s="446"/>
    </row>
    <row r="91" spans="1:41">
      <c r="Q91" s="235"/>
      <c r="R91" s="235"/>
      <c r="S91" s="235"/>
      <c r="T91" s="235"/>
      <c r="U91" s="247"/>
      <c r="V91" s="247"/>
      <c r="W91" s="247"/>
      <c r="X91" s="247"/>
      <c r="AI91" s="295"/>
      <c r="AJ91" s="295"/>
      <c r="AK91" s="295"/>
      <c r="AL91" s="295"/>
      <c r="AM91" s="295"/>
    </row>
    <row r="92" spans="1:41">
      <c r="B92" s="247" t="s">
        <v>92</v>
      </c>
      <c r="C92" s="247"/>
      <c r="D92" s="247"/>
      <c r="E92" s="247"/>
      <c r="F92" s="247"/>
      <c r="G92" s="247"/>
      <c r="H92" s="247"/>
      <c r="I92" s="247"/>
      <c r="Q92" s="235"/>
      <c r="R92" s="235"/>
      <c r="S92" s="235"/>
      <c r="T92" s="235"/>
      <c r="U92" s="246"/>
      <c r="V92" s="246"/>
      <c r="W92" s="246"/>
      <c r="X92" s="246"/>
      <c r="AH92" s="445" t="s">
        <v>228</v>
      </c>
      <c r="AI92" s="445"/>
      <c r="AJ92" s="445"/>
      <c r="AK92" s="445"/>
      <c r="AL92" s="445"/>
      <c r="AM92" s="445"/>
    </row>
    <row r="93" spans="1:41">
      <c r="Q93" s="235"/>
      <c r="R93" s="235"/>
      <c r="S93" s="235"/>
      <c r="T93" s="235"/>
      <c r="U93" s="294" t="s">
        <v>94</v>
      </c>
      <c r="V93" s="294"/>
      <c r="W93" s="294"/>
      <c r="X93" s="294"/>
      <c r="AH93" s="446" t="s">
        <v>93</v>
      </c>
      <c r="AI93" s="446"/>
      <c r="AJ93" s="446"/>
      <c r="AK93" s="446"/>
      <c r="AL93" s="446"/>
      <c r="AM93" s="446"/>
    </row>
  </sheetData>
  <mergeCells count="299"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78:U78"/>
    <mergeCell ref="V78:Y78"/>
    <mergeCell ref="Z78:AG78"/>
    <mergeCell ref="AH78:AN78"/>
    <mergeCell ref="A79:U79"/>
    <mergeCell ref="V79:Y79"/>
    <mergeCell ref="Z79:AG79"/>
    <mergeCell ref="AH79:AN79"/>
    <mergeCell ref="AI81:AM81"/>
    <mergeCell ref="A82:U82"/>
    <mergeCell ref="V82:Y82"/>
    <mergeCell ref="AA82:AF82"/>
    <mergeCell ref="A83:U83"/>
    <mergeCell ref="V83:Y83"/>
    <mergeCell ref="AA83:AF83"/>
    <mergeCell ref="AI82:AM82"/>
    <mergeCell ref="AI83:AM83"/>
    <mergeCell ref="A80:U80"/>
    <mergeCell ref="V80:Y80"/>
    <mergeCell ref="Z80:AG80"/>
    <mergeCell ref="AH80:AN80"/>
    <mergeCell ref="A81:U81"/>
    <mergeCell ref="V81:Y81"/>
    <mergeCell ref="AA81:AF81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</mergeCells>
  <pageMargins left="0.7" right="0.09" top="0.42" bottom="0.03" header="0.1" footer="0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24.01.2011</vt:lpstr>
      <vt:lpstr>31.05.2011 </vt:lpstr>
      <vt:lpstr>09.12.2011</vt:lpstr>
      <vt:lpstr>1 кв2020 </vt:lpstr>
      <vt:lpstr>1 кв2020  (2)</vt:lpstr>
      <vt:lpstr>2 кв2020</vt:lpstr>
      <vt:lpstr>2 кв2020 (2)</vt:lpstr>
      <vt:lpstr>3 кв2020 </vt:lpstr>
      <vt:lpstr>4 кв2020</vt:lpstr>
      <vt:lpstr>1КВ2021</vt:lpstr>
      <vt:lpstr>2кв2021</vt:lpstr>
      <vt:lpstr>9 міс 2021</vt:lpstr>
      <vt:lpstr>Рік</vt:lpstr>
      <vt:lpstr>'1 кв2020 '!Область_печати</vt:lpstr>
      <vt:lpstr>'1 кв2020  (2)'!Область_печати</vt:lpstr>
      <vt:lpstr>'1КВ2021'!Область_печати</vt:lpstr>
      <vt:lpstr>'2 кв2020'!Область_печати</vt:lpstr>
      <vt:lpstr>'2 кв2020 (2)'!Область_печати</vt:lpstr>
      <vt:lpstr>'2кв2021'!Область_печати</vt:lpstr>
      <vt:lpstr>'3 кв2020 '!Область_печати</vt:lpstr>
      <vt:lpstr>'4 кв2020'!Область_печати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Пользователь Windows</cp:lastModifiedBy>
  <cp:lastPrinted>2022-02-08T13:22:28Z</cp:lastPrinted>
  <dcterms:created xsi:type="dcterms:W3CDTF">2011-02-21T14:38:33Z</dcterms:created>
  <dcterms:modified xsi:type="dcterms:W3CDTF">2022-02-08T14:13:58Z</dcterms:modified>
</cp:coreProperties>
</file>